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ete\Desktop\Saddle Creek CSD\Budget\2015\"/>
    </mc:Choice>
  </mc:AlternateContent>
  <bookViews>
    <workbookView xWindow="0" yWindow="0" windowWidth="20490" windowHeight="7755"/>
  </bookViews>
  <sheets>
    <sheet name="Exhibit A, Budget Totals" sheetId="1" r:id="rId1"/>
    <sheet name=" Exhibit B, Salary and Schedule" sheetId="2" r:id="rId2"/>
    <sheet name="Salary Schedule Notes" sheetId="15" r:id="rId3"/>
    <sheet name="Exhibit C, Budget Definitions" sheetId="3" r:id="rId4"/>
    <sheet name="Charts" sheetId="9" r:id="rId5"/>
    <sheet name="Payroll Estimates" sheetId="4" r:id="rId6"/>
    <sheet name="Step Schedule" sheetId="13" r:id="rId7"/>
    <sheet name="Health Insurance" sheetId="5" r:id="rId8"/>
    <sheet name="Workers' Compensation" sheetId="6" r:id="rId9"/>
    <sheet name="Sheet4" sheetId="7" r:id="rId10"/>
    <sheet name="Data" sheetId="10" r:id="rId11"/>
    <sheet name="Tax roll" sheetId="12" r:id="rId12"/>
    <sheet name="Previous Year Payroll" sheetId="14" r:id="rId13"/>
    <sheet name="Budget Summary" sheetId="11" r:id="rId14"/>
  </sheets>
  <externalReferences>
    <externalReference r:id="rId15"/>
    <externalReference r:id="rId16"/>
  </externalReferences>
  <definedNames>
    <definedName name="_xlnm.Print_Area" localSheetId="5">'Payroll Estimates'!$C$7:$T$48</definedName>
    <definedName name="_xlnm.Print_Area" localSheetId="12">'Previous Year Payroll'!$C$7:$T$48</definedName>
    <definedName name="_xlnm.Print_Titles" localSheetId="5">'Payroll Estimates'!$A:$B,'Payroll Estimates'!$1:$6</definedName>
    <definedName name="_xlnm.Print_Titles" localSheetId="12">'Previous Year Payroll'!$A:$B,'Previous Year Payroll'!$1:$6</definedName>
    <definedName name="Z_EADF4D59_B0BC_4A76_8E18_BFC061DB9073_.wvu.PrintArea" localSheetId="5" hidden="1">'Payroll Estimates'!$C$7:$T$48</definedName>
    <definedName name="Z_EADF4D59_B0BC_4A76_8E18_BFC061DB9073_.wvu.PrintArea" localSheetId="12" hidden="1">'Previous Year Payroll'!$C$7:$T$48</definedName>
    <definedName name="Z_EADF4D59_B0BC_4A76_8E18_BFC061DB9073_.wvu.PrintTitles" localSheetId="5" hidden="1">'Payroll Estimates'!$A:$B,'Payroll Estimates'!$1:$6</definedName>
    <definedName name="Z_EADF4D59_B0BC_4A76_8E18_BFC061DB9073_.wvu.PrintTitles" localSheetId="12" hidden="1">'Previous Year Payroll'!$A:$B,'Previous Year Payroll'!$1:$6</definedName>
  </definedNames>
  <calcPr calcId="152511"/>
</workbook>
</file>

<file path=xl/calcChain.xml><?xml version="1.0" encoding="utf-8"?>
<calcChain xmlns="http://schemas.openxmlformats.org/spreadsheetml/2006/main">
  <c r="J43" i="14" l="1"/>
  <c r="J35" i="14"/>
  <c r="J34" i="14"/>
  <c r="J33" i="14"/>
  <c r="S17" i="14"/>
  <c r="O15" i="14"/>
  <c r="N15" i="14"/>
  <c r="M15" i="14"/>
  <c r="L15" i="14"/>
  <c r="P15" i="14" s="1"/>
  <c r="Q14" i="14"/>
  <c r="F14" i="14"/>
  <c r="E14" i="14"/>
  <c r="I14" i="14" s="1"/>
  <c r="K14" i="14" s="1"/>
  <c r="Q13" i="14"/>
  <c r="O13" i="14"/>
  <c r="N13" i="14"/>
  <c r="F13" i="14"/>
  <c r="I13" i="14" s="1"/>
  <c r="K13" i="14" s="1"/>
  <c r="E13" i="14"/>
  <c r="Q12" i="14"/>
  <c r="O12" i="14"/>
  <c r="N12" i="14"/>
  <c r="E12" i="14"/>
  <c r="I12" i="14" s="1"/>
  <c r="K12" i="14" s="1"/>
  <c r="Q11" i="14"/>
  <c r="O11" i="14"/>
  <c r="N11" i="14"/>
  <c r="I11" i="14"/>
  <c r="K11" i="14" s="1"/>
  <c r="E11" i="14"/>
  <c r="Q10" i="14"/>
  <c r="O10" i="14"/>
  <c r="N10" i="14"/>
  <c r="G10" i="14"/>
  <c r="F10" i="14"/>
  <c r="E10" i="14"/>
  <c r="Q9" i="14"/>
  <c r="O9" i="14"/>
  <c r="N9" i="14"/>
  <c r="M9" i="14"/>
  <c r="L9" i="14"/>
  <c r="P9" i="14" s="1"/>
  <c r="K9" i="14"/>
  <c r="I9" i="14"/>
  <c r="Q8" i="14"/>
  <c r="O8" i="14"/>
  <c r="N8" i="14"/>
  <c r="J8" i="14"/>
  <c r="H8" i="14"/>
  <c r="I8" i="14" s="1"/>
  <c r="K8" i="14" s="1"/>
  <c r="Q7" i="14"/>
  <c r="Q17" i="14" s="1"/>
  <c r="O7" i="14"/>
  <c r="N7" i="14"/>
  <c r="J7" i="14"/>
  <c r="J17" i="14" s="1"/>
  <c r="H7" i="14"/>
  <c r="I7" i="14" s="1"/>
  <c r="I10" i="14" l="1"/>
  <c r="K10" i="14" s="1"/>
  <c r="L10" i="14" s="1"/>
  <c r="K7" i="14"/>
  <c r="M14" i="14"/>
  <c r="L14" i="14"/>
  <c r="N14" i="14"/>
  <c r="O14" i="14"/>
  <c r="O17" i="14" s="1"/>
  <c r="M11" i="14"/>
  <c r="L11" i="14"/>
  <c r="L12" i="14"/>
  <c r="P12" i="14" s="1"/>
  <c r="R12" i="14" s="1"/>
  <c r="M12" i="14"/>
  <c r="N17" i="14"/>
  <c r="L8" i="14"/>
  <c r="M8" i="14"/>
  <c r="L13" i="14"/>
  <c r="M13" i="14"/>
  <c r="J44" i="14"/>
  <c r="J47" i="14" s="1"/>
  <c r="R9" i="14"/>
  <c r="J36" i="14"/>
  <c r="J37" i="14" s="1"/>
  <c r="J45" i="14"/>
  <c r="J46" i="14"/>
  <c r="I17" i="14" l="1"/>
  <c r="P11" i="14"/>
  <c r="R11" i="14" s="1"/>
  <c r="P13" i="14"/>
  <c r="R13" i="14" s="1"/>
  <c r="M10" i="14"/>
  <c r="P10" i="14" s="1"/>
  <c r="R10" i="14" s="1"/>
  <c r="K19" i="14"/>
  <c r="P8" i="14"/>
  <c r="R8" i="14" s="1"/>
  <c r="P14" i="14"/>
  <c r="R14" i="14" s="1"/>
  <c r="K17" i="14"/>
  <c r="M7" i="14"/>
  <c r="L7" i="14"/>
  <c r="M17" i="14" l="1"/>
  <c r="P7" i="14"/>
  <c r="L17" i="14"/>
  <c r="P17" i="14" l="1"/>
  <c r="S21" i="4" s="1"/>
  <c r="R7" i="14"/>
  <c r="R17" i="14" s="1"/>
  <c r="T17" i="14" s="1"/>
  <c r="E11" i="4" l="1"/>
  <c r="E10" i="4"/>
  <c r="G17" i="2"/>
  <c r="G16" i="2"/>
  <c r="K16" i="2" s="1"/>
  <c r="G11" i="4"/>
  <c r="F11" i="4"/>
  <c r="G10" i="4"/>
  <c r="F10" i="4"/>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70" i="13"/>
  <c r="F71" i="13"/>
  <c r="F72" i="13"/>
  <c r="F73" i="13"/>
  <c r="F74" i="13"/>
  <c r="F75" i="13"/>
  <c r="F76" i="13"/>
  <c r="F77" i="13"/>
  <c r="F78" i="13"/>
  <c r="F79" i="13"/>
  <c r="F80" i="13"/>
  <c r="F81" i="13"/>
  <c r="F82" i="13"/>
  <c r="F83" i="13"/>
  <c r="F84" i="13"/>
  <c r="F85" i="13"/>
  <c r="F86" i="13"/>
  <c r="F87" i="13"/>
  <c r="F88" i="13"/>
  <c r="F89" i="13"/>
  <c r="F90" i="13"/>
  <c r="F91" i="13"/>
  <c r="F92" i="13"/>
  <c r="F93" i="13"/>
  <c r="F94" i="13"/>
  <c r="F95" i="13"/>
  <c r="F96" i="13"/>
  <c r="F97" i="13"/>
  <c r="F98" i="13"/>
  <c r="F99" i="13"/>
  <c r="F100" i="13"/>
  <c r="F101" i="13"/>
  <c r="F102" i="13"/>
  <c r="F103" i="13"/>
  <c r="F104" i="13"/>
  <c r="F105" i="13"/>
  <c r="F106" i="13"/>
  <c r="F107" i="13"/>
  <c r="F108" i="13"/>
  <c r="F109" i="13"/>
  <c r="F110" i="13"/>
  <c r="F111" i="13"/>
  <c r="F112" i="13"/>
  <c r="F113" i="13"/>
  <c r="F114" i="13"/>
  <c r="F115" i="13"/>
  <c r="F116" i="13"/>
  <c r="F117" i="13"/>
  <c r="F118" i="13"/>
  <c r="F119" i="13"/>
  <c r="F120" i="13"/>
  <c r="F121" i="13"/>
  <c r="F122" i="13"/>
  <c r="F123" i="13"/>
  <c r="F124" i="13"/>
  <c r="F125" i="13"/>
  <c r="F126" i="13"/>
  <c r="F127" i="13"/>
  <c r="F128" i="13"/>
  <c r="F129" i="13"/>
  <c r="F130" i="13"/>
  <c r="F131" i="13"/>
  <c r="F132" i="13"/>
  <c r="F133" i="13"/>
  <c r="F134" i="13"/>
  <c r="F135" i="13"/>
  <c r="F136" i="13"/>
  <c r="F137" i="13"/>
  <c r="F138" i="13"/>
  <c r="F139" i="13"/>
  <c r="F140" i="13"/>
  <c r="F141" i="13"/>
  <c r="F142" i="13"/>
  <c r="F143" i="13"/>
  <c r="F144" i="13"/>
  <c r="F145" i="13"/>
  <c r="F146" i="13"/>
  <c r="F147" i="13"/>
  <c r="F148" i="13"/>
  <c r="F149" i="13"/>
  <c r="F150" i="13"/>
  <c r="F151" i="13"/>
  <c r="F152" i="13"/>
  <c r="F153" i="13"/>
  <c r="F154" i="13"/>
  <c r="F155" i="13"/>
  <c r="F156" i="13"/>
  <c r="F157" i="13"/>
  <c r="F158" i="13"/>
  <c r="F159" i="13"/>
  <c r="F160" i="13"/>
  <c r="F161" i="13"/>
  <c r="F162" i="13"/>
  <c r="F163" i="13"/>
  <c r="F164" i="13"/>
  <c r="F165" i="13"/>
  <c r="F166" i="13"/>
  <c r="F167" i="13"/>
  <c r="F168" i="13"/>
  <c r="F169" i="13"/>
  <c r="F170" i="13"/>
  <c r="F171" i="13"/>
  <c r="F172" i="13"/>
  <c r="F173" i="13"/>
  <c r="F174" i="13"/>
  <c r="F175" i="13"/>
  <c r="F176" i="13"/>
  <c r="F177" i="13"/>
  <c r="F178" i="13"/>
  <c r="F179" i="13"/>
  <c r="F180" i="13"/>
  <c r="F181" i="13"/>
  <c r="F182" i="13"/>
  <c r="F183" i="13"/>
  <c r="F184" i="13"/>
  <c r="F185" i="13"/>
  <c r="F186" i="13"/>
  <c r="F187" i="13"/>
  <c r="F188" i="13"/>
  <c r="F189" i="13"/>
  <c r="F190" i="13"/>
  <c r="F191" i="13"/>
  <c r="F192" i="13"/>
  <c r="F193" i="13"/>
  <c r="F194" i="13"/>
  <c r="F195" i="13"/>
  <c r="F196" i="13"/>
  <c r="F197" i="13"/>
  <c r="F198" i="13"/>
  <c r="F199" i="13"/>
  <c r="F200" i="13"/>
  <c r="F201" i="13"/>
  <c r="F202" i="13"/>
  <c r="F203" i="13"/>
  <c r="F204" i="13"/>
  <c r="F205" i="13"/>
  <c r="F206" i="13"/>
  <c r="F207" i="13"/>
  <c r="F208" i="13"/>
  <c r="F209" i="13"/>
  <c r="F210" i="13"/>
  <c r="F211" i="13"/>
  <c r="F212" i="13"/>
  <c r="F213" i="13"/>
  <c r="F214" i="13"/>
  <c r="F215" i="13"/>
  <c r="F216" i="13"/>
  <c r="F217" i="13"/>
  <c r="F218" i="13"/>
  <c r="F219" i="13"/>
  <c r="F220" i="13"/>
  <c r="F221" i="13"/>
  <c r="F222" i="13"/>
  <c r="F223" i="13"/>
  <c r="F224" i="13"/>
  <c r="F225" i="13"/>
  <c r="F226" i="13"/>
  <c r="F227" i="13"/>
  <c r="F228" i="13"/>
  <c r="F229" i="13"/>
  <c r="F230" i="13"/>
  <c r="F231" i="13"/>
  <c r="F232" i="13"/>
  <c r="F233" i="13"/>
  <c r="F234" i="13"/>
  <c r="F235" i="13"/>
  <c r="F236" i="13"/>
  <c r="F237" i="13"/>
  <c r="F238" i="13"/>
  <c r="F239" i="13"/>
  <c r="F240" i="13"/>
  <c r="F241" i="13"/>
  <c r="F242" i="13"/>
  <c r="F243" i="13"/>
  <c r="F244" i="13"/>
  <c r="F245" i="13"/>
  <c r="F246" i="13"/>
  <c r="F247" i="13"/>
  <c r="F248" i="13"/>
  <c r="F249" i="13"/>
  <c r="F250" i="13"/>
  <c r="F251" i="13"/>
  <c r="F252" i="13"/>
  <c r="F253" i="13"/>
  <c r="F254" i="13"/>
  <c r="F255" i="13"/>
  <c r="F256" i="13"/>
  <c r="F257" i="13"/>
  <c r="F258" i="13"/>
  <c r="F259" i="13"/>
  <c r="F260" i="13"/>
  <c r="F261" i="13"/>
  <c r="F262" i="13"/>
  <c r="F263" i="13"/>
  <c r="F264" i="13"/>
  <c r="F265" i="13"/>
  <c r="F266" i="13"/>
  <c r="F267" i="13"/>
  <c r="F268" i="13"/>
  <c r="F269" i="13"/>
  <c r="F270" i="13"/>
  <c r="F271" i="13"/>
  <c r="F272" i="13"/>
  <c r="F273" i="13"/>
  <c r="F274" i="13"/>
  <c r="F275" i="13"/>
  <c r="F276" i="13"/>
  <c r="F277" i="13"/>
  <c r="F278" i="13"/>
  <c r="F279" i="13"/>
  <c r="F280" i="13"/>
  <c r="F281" i="13"/>
  <c r="F282" i="13"/>
  <c r="F283" i="13"/>
  <c r="F284" i="13"/>
  <c r="F285" i="13"/>
  <c r="F286" i="13"/>
  <c r="F287" i="13"/>
  <c r="F288" i="13"/>
  <c r="F289" i="13"/>
  <c r="F290" i="13"/>
  <c r="F291" i="13"/>
  <c r="F292" i="13"/>
  <c r="F293" i="13"/>
  <c r="F294" i="13"/>
  <c r="F295" i="13"/>
  <c r="F296" i="13"/>
  <c r="F297" i="13"/>
  <c r="F298" i="13"/>
  <c r="F299" i="13"/>
  <c r="F300" i="13"/>
  <c r="F301" i="13"/>
  <c r="F302" i="13"/>
  <c r="F303" i="13"/>
  <c r="F304" i="13"/>
  <c r="F305" i="13"/>
  <c r="F306" i="13"/>
  <c r="F307" i="13"/>
  <c r="F308" i="13"/>
  <c r="F309" i="13"/>
  <c r="F310" i="13"/>
  <c r="F311" i="13"/>
  <c r="F312" i="13"/>
  <c r="F313" i="13"/>
  <c r="F314" i="13"/>
  <c r="F315" i="13"/>
  <c r="F316" i="13"/>
  <c r="F317" i="13"/>
  <c r="F318" i="13"/>
  <c r="F319" i="13"/>
  <c r="F320" i="13"/>
  <c r="F321" i="13"/>
  <c r="F322" i="13"/>
  <c r="F323" i="13"/>
  <c r="F324" i="13"/>
  <c r="F325" i="13"/>
  <c r="F326" i="13"/>
  <c r="F327" i="13"/>
  <c r="F328" i="13"/>
  <c r="F329" i="13"/>
  <c r="F330" i="13"/>
  <c r="F331" i="13"/>
  <c r="F332" i="13"/>
  <c r="F333" i="13"/>
  <c r="F334" i="13"/>
  <c r="F335" i="13"/>
  <c r="F336" i="13"/>
  <c r="F337" i="13"/>
  <c r="F338" i="13"/>
  <c r="F339" i="13"/>
  <c r="F340" i="13"/>
  <c r="F341" i="13"/>
  <c r="F342" i="13"/>
  <c r="F343" i="13"/>
  <c r="F344" i="13"/>
  <c r="F345" i="13"/>
  <c r="F346" i="13"/>
  <c r="F347" i="13"/>
  <c r="F348" i="13"/>
  <c r="F349" i="13"/>
  <c r="F350" i="13"/>
  <c r="F351" i="13"/>
  <c r="F352" i="13"/>
  <c r="F353" i="13"/>
  <c r="F354" i="13"/>
  <c r="F355" i="13"/>
  <c r="F356" i="13"/>
  <c r="F357" i="13"/>
  <c r="F358" i="13"/>
  <c r="F359" i="13"/>
  <c r="F360" i="13"/>
  <c r="F361" i="13"/>
  <c r="F362" i="13"/>
  <c r="F363" i="13"/>
  <c r="F364" i="13"/>
  <c r="F365" i="13"/>
  <c r="F366" i="13"/>
  <c r="F3" i="13"/>
  <c r="F4" i="13"/>
  <c r="F5" i="13"/>
  <c r="F6" i="13"/>
  <c r="F7" i="13"/>
  <c r="F8" i="13"/>
  <c r="F9" i="13"/>
  <c r="F10" i="13"/>
  <c r="F11" i="13"/>
  <c r="F12" i="13"/>
  <c r="F13" i="13"/>
  <c r="F14" i="13"/>
  <c r="F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E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79" i="13"/>
  <c r="E280" i="13"/>
  <c r="E281" i="13"/>
  <c r="E282"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4" i="13"/>
  <c r="D155" i="13"/>
  <c r="D156" i="13"/>
  <c r="D157" i="13"/>
  <c r="D158" i="13"/>
  <c r="D159" i="13"/>
  <c r="D160" i="13"/>
  <c r="D161" i="13"/>
  <c r="D162"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 r="D213" i="13"/>
  <c r="D214" i="13"/>
  <c r="D215" i="13"/>
  <c r="D216" i="13"/>
  <c r="D217" i="13"/>
  <c r="D218" i="13"/>
  <c r="D219" i="13"/>
  <c r="D220" i="13"/>
  <c r="D221" i="13"/>
  <c r="D222" i="13"/>
  <c r="D223" i="13"/>
  <c r="D224" i="13"/>
  <c r="D225" i="13"/>
  <c r="D226" i="13"/>
  <c r="D227" i="13"/>
  <c r="D228" i="13"/>
  <c r="D229" i="13"/>
  <c r="D230" i="13"/>
  <c r="D231" i="13"/>
  <c r="D232" i="13"/>
  <c r="D233" i="13"/>
  <c r="D234" i="13"/>
  <c r="D235" i="13"/>
  <c r="D236" i="13"/>
  <c r="D237" i="13"/>
  <c r="D238" i="13"/>
  <c r="D239" i="13"/>
  <c r="D240" i="13"/>
  <c r="D241" i="13"/>
  <c r="D242" i="13"/>
  <c r="D243" i="13"/>
  <c r="D244" i="13"/>
  <c r="D245" i="13"/>
  <c r="D246" i="13"/>
  <c r="D247" i="13"/>
  <c r="D248" i="13"/>
  <c r="D249" i="13"/>
  <c r="D250" i="13"/>
  <c r="D251" i="13"/>
  <c r="D252" i="13"/>
  <c r="D253" i="13"/>
  <c r="D254" i="13"/>
  <c r="D255" i="13"/>
  <c r="D256" i="13"/>
  <c r="D257" i="13"/>
  <c r="D258" i="13"/>
  <c r="D259" i="13"/>
  <c r="D260" i="13"/>
  <c r="D261" i="13"/>
  <c r="D262" i="13"/>
  <c r="D263" i="13"/>
  <c r="D264" i="13"/>
  <c r="D265" i="13"/>
  <c r="D266" i="13"/>
  <c r="D267" i="13"/>
  <c r="D268" i="13"/>
  <c r="D269" i="13"/>
  <c r="D270" i="13"/>
  <c r="D271" i="13"/>
  <c r="D272" i="13"/>
  <c r="D273" i="13"/>
  <c r="D274" i="13"/>
  <c r="D275" i="13"/>
  <c r="D276" i="13"/>
  <c r="D277" i="13"/>
  <c r="D278" i="13"/>
  <c r="D279" i="13"/>
  <c r="D280" i="13"/>
  <c r="D281" i="13"/>
  <c r="D282" i="13"/>
  <c r="D283" i="13"/>
  <c r="D284" i="13"/>
  <c r="D285" i="13"/>
  <c r="D286" i="13"/>
  <c r="D287" i="13"/>
  <c r="D288" i="13"/>
  <c r="D289" i="13"/>
  <c r="D290" i="13"/>
  <c r="D291" i="13"/>
  <c r="D292" i="13"/>
  <c r="D293" i="13"/>
  <c r="D294" i="13"/>
  <c r="D295" i="13"/>
  <c r="D296" i="13"/>
  <c r="D297" i="13"/>
  <c r="D298" i="13"/>
  <c r="D299" i="13"/>
  <c r="D300" i="13"/>
  <c r="D301" i="13"/>
  <c r="D302" i="13"/>
  <c r="D303" i="13"/>
  <c r="D304" i="13"/>
  <c r="D305" i="13"/>
  <c r="D306" i="13"/>
  <c r="D307" i="13"/>
  <c r="D308" i="13"/>
  <c r="D309" i="13"/>
  <c r="D310" i="13"/>
  <c r="D311" i="13"/>
  <c r="D312" i="13"/>
  <c r="D313" i="13"/>
  <c r="D314" i="13"/>
  <c r="D315" i="13"/>
  <c r="D316" i="13"/>
  <c r="D317" i="13"/>
  <c r="D318" i="13"/>
  <c r="D319" i="13"/>
  <c r="D320" i="13"/>
  <c r="D321" i="13"/>
  <c r="D322" i="13"/>
  <c r="D323" i="13"/>
  <c r="D324" i="13"/>
  <c r="D325" i="13"/>
  <c r="D326" i="13"/>
  <c r="D327" i="13"/>
  <c r="D328" i="13"/>
  <c r="D329" i="13"/>
  <c r="D330" i="13"/>
  <c r="D331" i="13"/>
  <c r="D332" i="13"/>
  <c r="D333" i="13"/>
  <c r="D334" i="13"/>
  <c r="D335" i="13"/>
  <c r="D336" i="13"/>
  <c r="D337" i="13"/>
  <c r="D338" i="13"/>
  <c r="D339" i="13"/>
  <c r="D340" i="13"/>
  <c r="D341" i="13"/>
  <c r="D342" i="13"/>
  <c r="D343" i="13"/>
  <c r="D344" i="13"/>
  <c r="D345" i="13"/>
  <c r="D346" i="13"/>
  <c r="D347" i="13"/>
  <c r="D348" i="13"/>
  <c r="D349" i="13"/>
  <c r="D350" i="13"/>
  <c r="D351" i="13"/>
  <c r="D352" i="13"/>
  <c r="D353" i="13"/>
  <c r="D354" i="13"/>
  <c r="D355" i="13"/>
  <c r="D356" i="13"/>
  <c r="D357" i="13"/>
  <c r="D358" i="13"/>
  <c r="D359" i="13"/>
  <c r="D360" i="13"/>
  <c r="D361" i="13"/>
  <c r="D362" i="13"/>
  <c r="D363" i="13"/>
  <c r="D364" i="13"/>
  <c r="D365" i="13"/>
  <c r="D366" i="13"/>
  <c r="D2" i="13"/>
  <c r="D3" i="13"/>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E91" i="13" s="1"/>
  <c r="D92" i="13"/>
  <c r="E2" i="13"/>
  <c r="E3" i="13"/>
  <c r="E4"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2" i="13"/>
  <c r="C4" i="13"/>
  <c r="C5" i="13"/>
  <c r="C6"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C51" i="13"/>
  <c r="C52" i="13"/>
  <c r="C53" i="13"/>
  <c r="C54" i="13"/>
  <c r="C55" i="13"/>
  <c r="C56" i="13"/>
  <c r="C57" i="13"/>
  <c r="C58" i="13"/>
  <c r="C59" i="13"/>
  <c r="C60" i="13"/>
  <c r="C61" i="13"/>
  <c r="C62" i="13"/>
  <c r="C63" i="13"/>
  <c r="C64" i="13"/>
  <c r="C65" i="13"/>
  <c r="C66" i="13"/>
  <c r="C67" i="13"/>
  <c r="C68" i="13"/>
  <c r="C69" i="13"/>
  <c r="C70" i="13"/>
  <c r="C71" i="13"/>
  <c r="C72" i="13"/>
  <c r="C73" i="13"/>
  <c r="C74" i="13"/>
  <c r="C75" i="13"/>
  <c r="C76" i="13"/>
  <c r="C77" i="13"/>
  <c r="C78" i="13"/>
  <c r="C79" i="13"/>
  <c r="C80" i="13"/>
  <c r="C81" i="13"/>
  <c r="C82" i="13"/>
  <c r="C83" i="13"/>
  <c r="C84" i="13"/>
  <c r="C85" i="13"/>
  <c r="C86" i="13"/>
  <c r="C87" i="13"/>
  <c r="C88" i="13"/>
  <c r="C89" i="13"/>
  <c r="C90" i="13"/>
  <c r="C91" i="13"/>
  <c r="C92" i="13"/>
  <c r="C93" i="13"/>
  <c r="C94" i="13"/>
  <c r="C95" i="13"/>
  <c r="C96" i="13"/>
  <c r="C97" i="13"/>
  <c r="C98" i="13"/>
  <c r="C99" i="13"/>
  <c r="C100"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C162" i="13"/>
  <c r="C163" i="13"/>
  <c r="C164" i="13"/>
  <c r="C165" i="13"/>
  <c r="C166" i="13"/>
  <c r="C167" i="13"/>
  <c r="C168" i="13"/>
  <c r="C169" i="13"/>
  <c r="C170" i="13"/>
  <c r="C171" i="13"/>
  <c r="C172" i="13"/>
  <c r="C173" i="13"/>
  <c r="C174" i="13"/>
  <c r="C175" i="13"/>
  <c r="C176" i="13"/>
  <c r="C177" i="13"/>
  <c r="C178" i="13"/>
  <c r="C179" i="13"/>
  <c r="C180" i="13"/>
  <c r="C181" i="13"/>
  <c r="C182" i="13"/>
  <c r="C183" i="13"/>
  <c r="C184" i="13"/>
  <c r="C185" i="13"/>
  <c r="C186" i="13"/>
  <c r="C187" i="13"/>
  <c r="C188" i="13"/>
  <c r="C189" i="13"/>
  <c r="C190" i="13"/>
  <c r="C191" i="13"/>
  <c r="C192" i="13"/>
  <c r="C193" i="13"/>
  <c r="C194" i="13"/>
  <c r="C195" i="13"/>
  <c r="C196" i="13"/>
  <c r="C197" i="13"/>
  <c r="C198" i="13"/>
  <c r="C199" i="13"/>
  <c r="C200" i="13"/>
  <c r="C201" i="13"/>
  <c r="C202" i="13"/>
  <c r="C203" i="13"/>
  <c r="C204" i="13"/>
  <c r="C205" i="13"/>
  <c r="C206" i="13"/>
  <c r="C207" i="13"/>
  <c r="C208" i="13"/>
  <c r="C209" i="13"/>
  <c r="C210" i="13"/>
  <c r="C211" i="13"/>
  <c r="C212" i="13"/>
  <c r="C213" i="13"/>
  <c r="C214" i="13"/>
  <c r="C215" i="13"/>
  <c r="C216" i="13"/>
  <c r="C217" i="13"/>
  <c r="C218" i="13"/>
  <c r="C219" i="13"/>
  <c r="C220" i="13"/>
  <c r="C221" i="13"/>
  <c r="C222" i="13"/>
  <c r="C223" i="13"/>
  <c r="C224" i="13"/>
  <c r="C225" i="13"/>
  <c r="C226" i="13"/>
  <c r="C227" i="13"/>
  <c r="C228" i="13"/>
  <c r="C229" i="13"/>
  <c r="C230" i="13"/>
  <c r="C231" i="13"/>
  <c r="C232" i="13"/>
  <c r="C233" i="13"/>
  <c r="C234" i="13"/>
  <c r="C235" i="13"/>
  <c r="C236" i="13"/>
  <c r="C237" i="13"/>
  <c r="C238" i="13"/>
  <c r="C239" i="13"/>
  <c r="C240" i="13"/>
  <c r="C241" i="13"/>
  <c r="C242" i="13"/>
  <c r="C243" i="13"/>
  <c r="C244" i="13"/>
  <c r="C245" i="13"/>
  <c r="C246" i="13"/>
  <c r="C247" i="13"/>
  <c r="C248" i="13"/>
  <c r="C249" i="13"/>
  <c r="C250" i="13"/>
  <c r="C251" i="13"/>
  <c r="C252" i="13"/>
  <c r="C253" i="13"/>
  <c r="C254" i="13"/>
  <c r="C255" i="13"/>
  <c r="C256" i="13"/>
  <c r="C257" i="13"/>
  <c r="C258" i="13"/>
  <c r="C259" i="13"/>
  <c r="C260" i="13"/>
  <c r="C261" i="13"/>
  <c r="C262" i="13"/>
  <c r="C263" i="13"/>
  <c r="C264" i="13"/>
  <c r="C265" i="13"/>
  <c r="C266" i="13"/>
  <c r="C267" i="13"/>
  <c r="C268" i="13"/>
  <c r="C269" i="13"/>
  <c r="C270" i="13"/>
  <c r="C271" i="13"/>
  <c r="C272" i="13"/>
  <c r="C273" i="13"/>
  <c r="C274" i="13"/>
  <c r="C275" i="13"/>
  <c r="C276" i="13"/>
  <c r="C277" i="13"/>
  <c r="C278" i="13"/>
  <c r="C279" i="13"/>
  <c r="C280" i="13"/>
  <c r="C281" i="13"/>
  <c r="C282" i="13"/>
  <c r="C283" i="13"/>
  <c r="C284" i="13"/>
  <c r="C285" i="13"/>
  <c r="C286" i="13"/>
  <c r="C287" i="13"/>
  <c r="C288" i="13"/>
  <c r="C289" i="13"/>
  <c r="C290" i="13"/>
  <c r="C291" i="13"/>
  <c r="C292" i="13"/>
  <c r="C293" i="13"/>
  <c r="C294" i="13"/>
  <c r="C295" i="13"/>
  <c r="C296" i="13"/>
  <c r="C297" i="13"/>
  <c r="C298" i="13"/>
  <c r="C299" i="13"/>
  <c r="C300" i="13"/>
  <c r="C301" i="13"/>
  <c r="C302" i="13"/>
  <c r="C303" i="13"/>
  <c r="C304" i="13"/>
  <c r="C305" i="13"/>
  <c r="C306" i="13"/>
  <c r="C307" i="13"/>
  <c r="C308" i="13"/>
  <c r="C309" i="13"/>
  <c r="C310" i="13"/>
  <c r="C311" i="13"/>
  <c r="C312" i="13"/>
  <c r="C313" i="13"/>
  <c r="C314" i="13"/>
  <c r="C315" i="13"/>
  <c r="C316" i="13"/>
  <c r="C317" i="13"/>
  <c r="C318" i="13"/>
  <c r="C319" i="13"/>
  <c r="C320" i="13"/>
  <c r="C321" i="13"/>
  <c r="C322" i="13"/>
  <c r="C323" i="13"/>
  <c r="C324" i="13"/>
  <c r="C325" i="13"/>
  <c r="C326" i="13"/>
  <c r="C327" i="13"/>
  <c r="C328" i="13"/>
  <c r="C329" i="13"/>
  <c r="C330" i="13"/>
  <c r="C331" i="13"/>
  <c r="C332" i="13"/>
  <c r="C333" i="13"/>
  <c r="C334" i="13"/>
  <c r="C335" i="13"/>
  <c r="C336" i="13"/>
  <c r="C337" i="13"/>
  <c r="C338" i="13"/>
  <c r="C339" i="13"/>
  <c r="C340" i="13"/>
  <c r="C341" i="13"/>
  <c r="C342" i="13"/>
  <c r="C343" i="13"/>
  <c r="C344" i="13"/>
  <c r="C345" i="13"/>
  <c r="C346" i="13"/>
  <c r="C347" i="13"/>
  <c r="C348" i="13"/>
  <c r="C349" i="13"/>
  <c r="C350" i="13"/>
  <c r="C351" i="13"/>
  <c r="C352" i="13"/>
  <c r="C353" i="13"/>
  <c r="C354" i="13"/>
  <c r="C355" i="13"/>
  <c r="C356" i="13"/>
  <c r="C357" i="13"/>
  <c r="C358" i="13"/>
  <c r="C359" i="13"/>
  <c r="C360" i="13"/>
  <c r="C361" i="13"/>
  <c r="C362" i="13"/>
  <c r="C363" i="13"/>
  <c r="C364" i="13"/>
  <c r="C365" i="13"/>
  <c r="C366" i="13"/>
  <c r="C3" i="13"/>
  <c r="C2" i="13"/>
  <c r="E12" i="4"/>
  <c r="D14" i="4"/>
  <c r="D13" i="4"/>
  <c r="D12" i="4"/>
  <c r="D11" i="4"/>
  <c r="K15" i="2"/>
  <c r="K19" i="2"/>
  <c r="K14" i="2"/>
  <c r="H20" i="2"/>
  <c r="I20" i="2" s="1"/>
  <c r="J20" i="2" s="1"/>
  <c r="K20" i="2" s="1"/>
  <c r="D9" i="4" l="1"/>
  <c r="H17" i="2"/>
  <c r="D10" i="4"/>
  <c r="E9" i="4"/>
  <c r="I17" i="2" l="1"/>
  <c r="J17" i="2" s="1"/>
  <c r="K17" i="2" s="1"/>
  <c r="E4" i="12" l="1"/>
  <c r="E5" i="12"/>
  <c r="E6" i="12"/>
  <c r="E7" i="12"/>
  <c r="E8" i="12"/>
  <c r="E9" i="12"/>
  <c r="E10" i="12"/>
  <c r="E11" i="12"/>
  <c r="E12" i="12"/>
  <c r="E13" i="12"/>
  <c r="E14" i="12"/>
  <c r="E15" i="12"/>
  <c r="E16" i="12"/>
  <c r="E3" i="12"/>
  <c r="C16" i="12"/>
  <c r="C15" i="12"/>
  <c r="C14" i="12"/>
  <c r="C13" i="12"/>
  <c r="C12" i="12"/>
  <c r="C11" i="12"/>
  <c r="C10" i="12"/>
  <c r="C9" i="12"/>
  <c r="C8" i="12"/>
  <c r="C7" i="12"/>
  <c r="C6" i="12"/>
  <c r="C5" i="12"/>
  <c r="C4" i="12"/>
  <c r="J19" i="1" l="1"/>
  <c r="J18" i="1"/>
  <c r="J21" i="1" s="1"/>
  <c r="C2" i="11" s="1"/>
  <c r="B11" i="10"/>
  <c r="B4" i="10"/>
  <c r="B3" i="10" s="1"/>
  <c r="E14" i="4" l="1"/>
  <c r="E13" i="4"/>
  <c r="C9" i="7"/>
  <c r="D9" i="7"/>
  <c r="E9" i="7"/>
  <c r="F9" i="7"/>
  <c r="G9" i="7"/>
  <c r="H9" i="7"/>
  <c r="B9" i="7"/>
  <c r="H8" i="4"/>
  <c r="H7" i="4"/>
  <c r="H2" i="7"/>
  <c r="H3" i="7"/>
  <c r="H4" i="7"/>
  <c r="H6" i="7"/>
  <c r="H7" i="7"/>
  <c r="H1" i="7"/>
  <c r="F2" i="7"/>
  <c r="F3" i="7"/>
  <c r="F4" i="7"/>
  <c r="F6" i="7"/>
  <c r="F7" i="7"/>
  <c r="F1" i="7"/>
  <c r="D2" i="7"/>
  <c r="D3" i="7"/>
  <c r="D4" i="7"/>
  <c r="D6" i="7"/>
  <c r="D7" i="7"/>
  <c r="D1" i="7"/>
  <c r="B2" i="7"/>
  <c r="B3" i="7"/>
  <c r="B4" i="7"/>
  <c r="B5" i="7"/>
  <c r="B6" i="7"/>
  <c r="B7" i="7"/>
  <c r="B1" i="7"/>
  <c r="C7" i="7"/>
  <c r="E7" i="7" s="1"/>
  <c r="G7" i="7" s="1"/>
  <c r="C6" i="7"/>
  <c r="E6" i="7" s="1"/>
  <c r="G6" i="7" s="1"/>
  <c r="E29" i="6"/>
  <c r="E18" i="6"/>
  <c r="B14" i="6"/>
  <c r="E14" i="6" s="1"/>
  <c r="B13" i="6"/>
  <c r="E13" i="6" s="1"/>
  <c r="B12" i="6"/>
  <c r="E12" i="6" s="1"/>
  <c r="B11" i="6"/>
  <c r="E11" i="6" s="1"/>
  <c r="B10" i="6"/>
  <c r="E10" i="6" s="1"/>
  <c r="B9" i="6"/>
  <c r="E9" i="6" s="1"/>
  <c r="B8" i="6"/>
  <c r="E8" i="6" s="1"/>
  <c r="B7" i="6"/>
  <c r="B16" i="6" l="1"/>
  <c r="E7" i="6"/>
  <c r="E16" i="6" s="1"/>
  <c r="E22" i="6" s="1"/>
  <c r="J73" i="1" s="1"/>
  <c r="E35" i="6" l="1"/>
  <c r="E23" i="6"/>
  <c r="E24" i="6" l="1"/>
  <c r="E25" i="6" s="1"/>
  <c r="E33" i="6" l="1"/>
  <c r="E26" i="6"/>
  <c r="E27" i="6" s="1"/>
  <c r="E31" i="6" s="1"/>
  <c r="I17" i="5" l="1"/>
  <c r="H17" i="5"/>
  <c r="G17" i="5"/>
  <c r="F17" i="5"/>
  <c r="E17" i="5"/>
  <c r="D17" i="5"/>
  <c r="C17" i="5"/>
  <c r="H15" i="5"/>
  <c r="G15" i="5"/>
  <c r="F15" i="5"/>
  <c r="E15" i="5"/>
  <c r="D15" i="5"/>
  <c r="C15" i="5"/>
  <c r="B15" i="5"/>
  <c r="I14" i="5"/>
  <c r="K14" i="5" s="1"/>
  <c r="I13" i="5"/>
  <c r="K13" i="5" s="1"/>
  <c r="J12" i="5"/>
  <c r="K12" i="5" s="1"/>
  <c r="J11" i="5"/>
  <c r="K11" i="5" s="1"/>
  <c r="J10" i="5"/>
  <c r="K10" i="5" s="1"/>
  <c r="J9" i="5"/>
  <c r="K9" i="5" s="1"/>
  <c r="J8" i="5"/>
  <c r="K8" i="5" s="1"/>
  <c r="J7" i="5"/>
  <c r="J17" i="5" s="1"/>
  <c r="J44" i="4"/>
  <c r="J43" i="4"/>
  <c r="J35" i="4"/>
  <c r="J34" i="4"/>
  <c r="J33" i="4"/>
  <c r="S17" i="4"/>
  <c r="O15" i="4"/>
  <c r="N15" i="4"/>
  <c r="M15" i="4"/>
  <c r="L15" i="4"/>
  <c r="P15" i="4" s="1"/>
  <c r="Q14" i="4"/>
  <c r="I14" i="4"/>
  <c r="K14" i="4" s="1"/>
  <c r="F14" i="4"/>
  <c r="Q13" i="4"/>
  <c r="O13" i="4"/>
  <c r="N13" i="4"/>
  <c r="F13" i="4"/>
  <c r="I13" i="4" s="1"/>
  <c r="K13" i="4" s="1"/>
  <c r="Q12" i="4"/>
  <c r="O12" i="4"/>
  <c r="N12" i="4"/>
  <c r="I12" i="4"/>
  <c r="K12" i="4" s="1"/>
  <c r="K19" i="4" s="1"/>
  <c r="Q11" i="4"/>
  <c r="O11" i="4"/>
  <c r="N11" i="4"/>
  <c r="I11" i="4"/>
  <c r="K11" i="4" s="1"/>
  <c r="Q10" i="4"/>
  <c r="O10" i="4"/>
  <c r="N10" i="4"/>
  <c r="I10" i="4"/>
  <c r="K10" i="4" s="1"/>
  <c r="Q9" i="4"/>
  <c r="O9" i="4"/>
  <c r="N9" i="4"/>
  <c r="I9" i="4"/>
  <c r="K9" i="4" s="1"/>
  <c r="Q8" i="4"/>
  <c r="O8" i="4"/>
  <c r="N8" i="4"/>
  <c r="J8" i="4"/>
  <c r="I8" i="4"/>
  <c r="K8" i="4" s="1"/>
  <c r="L8" i="4" s="1"/>
  <c r="Q7" i="4"/>
  <c r="O7" i="4"/>
  <c r="N7" i="4"/>
  <c r="J7" i="4"/>
  <c r="J17" i="4" s="1"/>
  <c r="I7" i="4"/>
  <c r="J51" i="1"/>
  <c r="J50" i="1"/>
  <c r="J49" i="1"/>
  <c r="J48" i="1"/>
  <c r="J47" i="1"/>
  <c r="Q17" i="4" l="1"/>
  <c r="I17" i="4"/>
  <c r="I15" i="5"/>
  <c r="J15" i="5"/>
  <c r="K7" i="5"/>
  <c r="K15" i="5" s="1"/>
  <c r="M14" i="4"/>
  <c r="L14" i="4"/>
  <c r="N14" i="4"/>
  <c r="O14" i="4"/>
  <c r="M10" i="4"/>
  <c r="L10" i="4"/>
  <c r="N17" i="4"/>
  <c r="O17" i="4"/>
  <c r="M12" i="4"/>
  <c r="L12" i="4"/>
  <c r="L13" i="4"/>
  <c r="M13" i="4"/>
  <c r="M8" i="4"/>
  <c r="P8" i="4" s="1"/>
  <c r="R8" i="4" s="1"/>
  <c r="L9" i="4"/>
  <c r="L11" i="4"/>
  <c r="J36" i="4"/>
  <c r="J37" i="4" s="1"/>
  <c r="J45" i="4"/>
  <c r="J47" i="4" s="1"/>
  <c r="K7" i="4"/>
  <c r="M9" i="4"/>
  <c r="M11" i="4"/>
  <c r="J46" i="4"/>
  <c r="P9" i="4" l="1"/>
  <c r="R9" i="4" s="1"/>
  <c r="P13" i="4"/>
  <c r="R13" i="4" s="1"/>
  <c r="M7" i="4"/>
  <c r="M17" i="4" s="1"/>
  <c r="L7" i="4"/>
  <c r="K17" i="4"/>
  <c r="J78" i="1" s="1"/>
  <c r="P14" i="4"/>
  <c r="R14" i="4" s="1"/>
  <c r="P11" i="4"/>
  <c r="R11" i="4" s="1"/>
  <c r="P12" i="4"/>
  <c r="R12" i="4" s="1"/>
  <c r="P10" i="4"/>
  <c r="R10" i="4" s="1"/>
  <c r="P7" i="4" l="1"/>
  <c r="L17" i="4"/>
  <c r="P17" i="4" l="1"/>
  <c r="R7" i="4"/>
  <c r="R17" i="4" s="1"/>
  <c r="T17" i="4" s="1"/>
  <c r="J75" i="1" l="1"/>
  <c r="S22" i="4"/>
  <c r="S23" i="4" s="1"/>
  <c r="J44" i="1"/>
  <c r="J43" i="1"/>
  <c r="J42" i="1"/>
  <c r="J36" i="1"/>
  <c r="J35" i="1"/>
  <c r="J29" i="1"/>
  <c r="J28" i="1"/>
  <c r="J31" i="1" l="1"/>
  <c r="T54" i="1"/>
  <c r="F92" i="1"/>
  <c r="G55" i="1" l="1"/>
  <c r="F55" i="1"/>
  <c r="G80" i="1"/>
  <c r="F80" i="1"/>
  <c r="G92" i="1"/>
  <c r="G71" i="1"/>
  <c r="G86" i="1" s="1"/>
  <c r="F71" i="1"/>
  <c r="F86" i="1" s="1"/>
  <c r="H31" i="1"/>
  <c r="H78" i="1" s="1"/>
  <c r="P37" i="1"/>
  <c r="F95" i="1" l="1"/>
  <c r="G95" i="1"/>
  <c r="V84" i="1"/>
  <c r="P85" i="1" l="1"/>
  <c r="Q92" i="1" s="1"/>
  <c r="P11" i="1" l="1"/>
  <c r="C11" i="1" s="1"/>
  <c r="P77" i="1" s="1"/>
  <c r="T56" i="1"/>
  <c r="S16" i="1"/>
  <c r="T16" i="1" s="1"/>
  <c r="P61" i="1"/>
  <c r="P31" i="1" s="1"/>
  <c r="J92" i="1"/>
  <c r="I92" i="1"/>
  <c r="H92" i="1"/>
  <c r="J80" i="1"/>
  <c r="I80" i="1"/>
  <c r="H80" i="1"/>
  <c r="J71" i="1"/>
  <c r="J86" i="1" s="1"/>
  <c r="I71" i="1"/>
  <c r="I86" i="1" s="1"/>
  <c r="H71" i="1"/>
  <c r="H86" i="1" s="1"/>
  <c r="I55" i="1"/>
  <c r="H55" i="1"/>
  <c r="P45" i="1"/>
  <c r="P47" i="1" s="1"/>
  <c r="J55" i="1"/>
  <c r="A60" i="3"/>
  <c r="A59" i="3"/>
  <c r="A58" i="3"/>
  <c r="A56" i="3"/>
  <c r="H95" i="1" l="1"/>
  <c r="I95" i="1"/>
  <c r="F4" i="1"/>
  <c r="J95" i="1"/>
  <c r="S26" i="1"/>
  <c r="S25" i="1"/>
  <c r="S24" i="1"/>
  <c r="P39" i="1"/>
  <c r="P48" i="1" s="1"/>
  <c r="P78" i="1" s="1"/>
  <c r="P56" i="1"/>
  <c r="P14" i="1"/>
  <c r="E6" i="1" l="1"/>
  <c r="C3" i="11"/>
  <c r="E11" i="1"/>
  <c r="S27" i="1"/>
  <c r="P16" i="1"/>
  <c r="H11" i="1"/>
  <c r="C4" i="11" l="1"/>
  <c r="C10" i="11"/>
  <c r="P23" i="1"/>
  <c r="P79" i="1"/>
  <c r="U77" i="1" s="1"/>
  <c r="U79" i="1" s="1"/>
  <c r="V87" i="1" s="1"/>
  <c r="V88" i="1" s="1"/>
  <c r="P27" i="1" l="1"/>
  <c r="P28" i="1" s="1"/>
  <c r="P32" i="1" s="1"/>
  <c r="C13" i="1" s="1"/>
  <c r="H13" i="1" s="1"/>
  <c r="E7" i="1" s="1"/>
  <c r="V83" i="1"/>
  <c r="V91" i="1" s="1"/>
  <c r="F8" i="1" l="1"/>
  <c r="C6" i="11"/>
  <c r="C8" i="11" s="1"/>
</calcChain>
</file>

<file path=xl/sharedStrings.xml><?xml version="1.0" encoding="utf-8"?>
<sst xmlns="http://schemas.openxmlformats.org/spreadsheetml/2006/main" count="502" uniqueCount="367">
  <si>
    <t xml:space="preserve">            </t>
  </si>
  <si>
    <t xml:space="preserve"> </t>
  </si>
  <si>
    <r>
      <t xml:space="preserve">       </t>
    </r>
    <r>
      <rPr>
        <u/>
        <sz val="10"/>
        <rFont val="Arial"/>
        <family val="2"/>
      </rPr>
      <t>Operational Expenses</t>
    </r>
  </si>
  <si>
    <t xml:space="preserve">        OE 02/Bookkeeping:  Cost for accounting and bookkeeping services.</t>
  </si>
  <si>
    <t xml:space="preserve">        OE 01/Audit:  Costs for annual independent audit of District Finances.</t>
  </si>
  <si>
    <t xml:space="preserve">        OE 16/Gate maintenance: Cost for gate maintenance/repair and opener purchase.</t>
  </si>
  <si>
    <t xml:space="preserve">       OE 17/Street &amp; Gate Lighting: Cost for maintenance and repair of lighting under District control.</t>
  </si>
  <si>
    <t xml:space="preserve">       OE 18/Landscape Supplies/Repairs: Cost for landscape supplies, repairs, etc.</t>
  </si>
  <si>
    <t xml:space="preserve">       OE 19/Landscape Equipment Repair: Cost for maintenance and replacement of landscape equipment.</t>
  </si>
  <si>
    <t xml:space="preserve">       OE 21/Landscape Equipment Gas/Oil: Gas &amp; oil for landscape equipment tools/vehicles.</t>
  </si>
  <si>
    <t xml:space="preserve">        </t>
  </si>
  <si>
    <r>
      <t xml:space="preserve">       </t>
    </r>
    <r>
      <rPr>
        <u/>
        <sz val="10"/>
        <rFont val="Arial"/>
        <family val="2"/>
      </rPr>
      <t>Page 1 of 2</t>
    </r>
  </si>
  <si>
    <t xml:space="preserve">       OE 24/Mosquito Vehicle Gas &amp; Oil: Cost of gas and oil for mosquito abatement operations.</t>
  </si>
  <si>
    <t xml:space="preserve">       OE 25/Mosquito Abatement Maintenance: Cost for maintenance/repair of abatement vehicles/equipment.</t>
  </si>
  <si>
    <r>
      <t xml:space="preserve">      </t>
    </r>
    <r>
      <rPr>
        <u/>
        <sz val="10"/>
        <rFont val="Arial"/>
        <family val="2"/>
      </rPr>
      <t>Page 2 of 2</t>
    </r>
  </si>
  <si>
    <t xml:space="preserve">        OE 06/Insurance: Cost for SDRMA property loss &amp; liability insurance.</t>
  </si>
  <si>
    <t xml:space="preserve">        OE 09/Dues, Certifications &amp; Subscriptions: Cost for professional dues, certifications, etc.</t>
  </si>
  <si>
    <t xml:space="preserve">        OE 10/Uniform Expense: Cost for uniform purchase.</t>
  </si>
  <si>
    <t xml:space="preserve">        OE 11/Electric/Water/Sewer: Cost for PG&amp;E/CCWD services to facilities under District control.</t>
  </si>
  <si>
    <t xml:space="preserve">        OE 12/Telephone Service: Cost for all District landline and cell phones.</t>
  </si>
  <si>
    <t xml:space="preserve">        OE 13/Internet Service: Cost for Caltel Internet service.</t>
  </si>
  <si>
    <t xml:space="preserve">        OE 14/Office Supplies: Cost for purchase of office supplies and mailings.</t>
  </si>
  <si>
    <t xml:space="preserve">        OE 15/Office Equipment: Cost for purchase and maintenance of office equipment.</t>
  </si>
  <si>
    <t>(Step 1)</t>
  </si>
  <si>
    <t>(Step 2)</t>
  </si>
  <si>
    <t>(Step 3)</t>
  </si>
  <si>
    <t>(Step 4)</t>
  </si>
  <si>
    <t>N/A</t>
  </si>
  <si>
    <t>Classification</t>
  </si>
  <si>
    <t>Employee</t>
  </si>
  <si>
    <t>OPERATIONAL EXPENSES</t>
  </si>
  <si>
    <t>Audit Expenses</t>
  </si>
  <si>
    <t>Accounting &amp; Bookkeeping</t>
  </si>
  <si>
    <t>Misc. Fees (Notary/Bonds/etc.)</t>
  </si>
  <si>
    <t>Legal Expenses</t>
  </si>
  <si>
    <t>Insurance (Property Loss/Liability)</t>
  </si>
  <si>
    <t>Miscellaneous/Contingency</t>
  </si>
  <si>
    <t>Professional Development (Travel/Training)</t>
  </si>
  <si>
    <t>Dues, Certificates &amp; Subscriptions</t>
  </si>
  <si>
    <t>Uniform Expenses</t>
  </si>
  <si>
    <t>Electric Power/Water/Sewer</t>
  </si>
  <si>
    <t>Telephone Service</t>
  </si>
  <si>
    <t>Internet Service</t>
  </si>
  <si>
    <t>Office Supplies/Postage</t>
  </si>
  <si>
    <t>Office Equipment Repair/Replacement</t>
  </si>
  <si>
    <t>Gate Maintenance &amp; Opener Purchase</t>
  </si>
  <si>
    <t>Landscape Supplies &amp; Repairs</t>
  </si>
  <si>
    <t>Landscape Equipment Repair/Replacement</t>
  </si>
  <si>
    <t>Lease/Purchase Tractor</t>
  </si>
  <si>
    <t>Landscape Equipment Gas &amp; Oil</t>
  </si>
  <si>
    <t>Mosquito Control Products</t>
  </si>
  <si>
    <t>Mosquito Abatement Monitoring &amp; Testing</t>
  </si>
  <si>
    <t>Mosquito Abatement Vehicle Gas &amp; Oil</t>
  </si>
  <si>
    <t>Mosquito Abatement Vehicle Maintenance</t>
  </si>
  <si>
    <t>Total Operational Expenses</t>
  </si>
  <si>
    <t>Saddle Creek CSD</t>
  </si>
  <si>
    <t>Personnel Expenses</t>
  </si>
  <si>
    <t>Workers' Compensation Insurance (13)</t>
  </si>
  <si>
    <t>Health Insurance (6)</t>
  </si>
  <si>
    <t>Payroll Taxes (13)</t>
  </si>
  <si>
    <t>Processing Fees (13)</t>
  </si>
  <si>
    <t>Directors' Stipend (5)</t>
  </si>
  <si>
    <t xml:space="preserve">Employee Wages (8) </t>
  </si>
  <si>
    <t xml:space="preserve">             </t>
  </si>
  <si>
    <t>Total Personnel Expenses:</t>
  </si>
  <si>
    <t>SADDLE CREEK COMMUNITY SERVICES DISTRICT</t>
  </si>
  <si>
    <t>Capital Outlay</t>
  </si>
  <si>
    <t>Total Capital Outlay</t>
  </si>
  <si>
    <t>Start</t>
  </si>
  <si>
    <t>After 3 Yrs.</t>
  </si>
  <si>
    <t>After 2 Yrs.</t>
  </si>
  <si>
    <t xml:space="preserve">After 1 Yr. </t>
  </si>
  <si>
    <t>Employee Classification</t>
  </si>
  <si>
    <t>(A)</t>
  </si>
  <si>
    <t>(H)</t>
  </si>
  <si>
    <t>(5) Directors (Elected)</t>
  </si>
  <si>
    <t>(1) General Manager</t>
  </si>
  <si>
    <t>$100 per Board Meeting Attended</t>
  </si>
  <si>
    <t>Exhibit "B"</t>
  </si>
  <si>
    <t xml:space="preserve">(A)=Annual Salary     (H)=Hourly Salary              </t>
  </si>
  <si>
    <t>a)</t>
  </si>
  <si>
    <t>b)</t>
  </si>
  <si>
    <t>c)</t>
  </si>
  <si>
    <t>The Part-Time Maintenance I position is filled only when necessary to provide an adequate level of service during times when full time positions are vacant.</t>
  </si>
  <si>
    <t>d)</t>
  </si>
  <si>
    <t>Exhibit "C"</t>
  </si>
  <si>
    <t>(Operational Expenses &amp; Capital Outlay)</t>
  </si>
  <si>
    <t xml:space="preserve">       OE 23/Mosquito Monitoring &amp; Testing: Cost for testing of mosquitos/birds and sentinel chicken flock.</t>
  </si>
  <si>
    <r>
      <t xml:space="preserve">       </t>
    </r>
    <r>
      <rPr>
        <u/>
        <sz val="10"/>
        <rFont val="Arial"/>
        <family val="2"/>
      </rPr>
      <t>Capital Outlay</t>
    </r>
  </si>
  <si>
    <t>Less Balance to Pay</t>
  </si>
  <si>
    <t>Net End of Year Balance</t>
  </si>
  <si>
    <t xml:space="preserve">        OE 04/Legal Expenses: Cost for CSD Attorney and other legal professionals.</t>
  </si>
  <si>
    <t xml:space="preserve">        OE 07/Contingency: Funds available to GM for unanticipated District expenses.</t>
  </si>
  <si>
    <t xml:space="preserve">        OE 08/Professional Development: Cost for business related meetings, travel &amp; meal expenses.</t>
  </si>
  <si>
    <t xml:space="preserve">   </t>
  </si>
  <si>
    <t>Balance to Pay (1)</t>
  </si>
  <si>
    <t>(1) Balance to Pay:</t>
  </si>
  <si>
    <t>Accounts Payable</t>
  </si>
  <si>
    <t>Credit Card Payable</t>
  </si>
  <si>
    <t>Accrued Payroll</t>
  </si>
  <si>
    <t>Accrued Sales Tax</t>
  </si>
  <si>
    <t>Balance Umpqua Checking</t>
  </si>
  <si>
    <t>2" SDS Max Rotary Hammer with attachments</t>
  </si>
  <si>
    <t>Workman MDX Cart</t>
  </si>
  <si>
    <t xml:space="preserve">       CO-1   2" SDS Max Rotary Hammer with Attachments</t>
  </si>
  <si>
    <t xml:space="preserve">       CO-2   Workman MDX Cart</t>
  </si>
  <si>
    <t xml:space="preserve">       OE 22/Mosquito Control Products: Cost of chemicals, supplies and employee after-hour meals for </t>
  </si>
  <si>
    <t xml:space="preserve">                       mosquito abatement operations.</t>
  </si>
  <si>
    <t xml:space="preserve">       OE 20/Tractor Lease/Purchase: Lease purchase payment for tractor.</t>
  </si>
  <si>
    <t xml:space="preserve">        OE 03/Misc. Fees: Cost for notary/bonds/online backup/etc.</t>
  </si>
  <si>
    <t xml:space="preserve">       OE 26/County Fees/LAFCO</t>
  </si>
  <si>
    <t>Total Checking Balance</t>
  </si>
  <si>
    <t>Other Revenue:</t>
  </si>
  <si>
    <t>Interest Income</t>
  </si>
  <si>
    <t>Other Misc. Income</t>
  </si>
  <si>
    <t>Net Other Revenue</t>
  </si>
  <si>
    <t>Total Revenue Received</t>
  </si>
  <si>
    <t>Streets, Sidewalks &amp; Lighting Maintenance</t>
  </si>
  <si>
    <t>Reimbursable Maint/Repair Expense (2)</t>
  </si>
  <si>
    <t>Maint/Repair Reimbursements</t>
  </si>
  <si>
    <t>Interest from County</t>
  </si>
  <si>
    <t># Lots</t>
  </si>
  <si>
    <t>Rate</t>
  </si>
  <si>
    <t>LAFCO</t>
  </si>
  <si>
    <t>Reconciliation:</t>
  </si>
  <si>
    <t>Beginning Balance</t>
  </si>
  <si>
    <t>Total Revenues</t>
  </si>
  <si>
    <t>Total Expenditures</t>
  </si>
  <si>
    <t xml:space="preserve">     Stabilization Funds (Internal Info Only)</t>
  </si>
  <si>
    <t xml:space="preserve">     Other Unassigned Funds (Internal Info Only)</t>
  </si>
  <si>
    <t>Upon completion of each full calandar year of employment with the District in the position of Maintenance Supervisor, the District provides a $3,000 IRA contribution. This benefit is paid during the month of January in the year following each full calendar year of employment. All payroll costs associated with this benefit are borne by the District.</t>
  </si>
  <si>
    <t>Upon completion of each full calandar year of employment with the District in the position of Maintenance Manager, the District provides a $3,500 IRA contribution. This benefit is paid during the month of January in the year following each full calendar year of employment. All payroll costs associated with this benefit are borne by the District.</t>
  </si>
  <si>
    <t>e)</t>
  </si>
  <si>
    <t>Total Unassigned Funds</t>
  </si>
  <si>
    <t>(2) CDs</t>
  </si>
  <si>
    <t>Less A/R</t>
  </si>
  <si>
    <t>Assessment Revenue:</t>
  </si>
  <si>
    <t>Assessment Revenue</t>
  </si>
  <si>
    <t xml:space="preserve">2013 Balance allocated to 2014 </t>
  </si>
  <si>
    <t>Adjustments for Rounding</t>
  </si>
  <si>
    <t>2013 Income Assigned to 2014</t>
  </si>
  <si>
    <t>Reconciliation (not rounded):</t>
  </si>
  <si>
    <t>County Fees/LAFCO (1)</t>
  </si>
  <si>
    <t>Allocation of Unassigned Funds for GASB 54:</t>
  </si>
  <si>
    <t>Net Unassigned</t>
  </si>
  <si>
    <t>Rounding Adjustment</t>
  </si>
  <si>
    <t>Assigned:</t>
  </si>
  <si>
    <t>General Operations FYE 12/31/14</t>
  </si>
  <si>
    <t>Unassigned:</t>
  </si>
  <si>
    <t>Other Unassigned</t>
  </si>
  <si>
    <t>Total Unassigned</t>
  </si>
  <si>
    <t>Apportionments:</t>
  </si>
  <si>
    <t>Feb - 55%</t>
  </si>
  <si>
    <t>May - 40%</t>
  </si>
  <si>
    <t>Aug - 5%</t>
  </si>
  <si>
    <t>Management Fees</t>
  </si>
  <si>
    <t xml:space="preserve">        OE 05/Management Fees: Cost for monthly mangement services</t>
  </si>
  <si>
    <t>FY 2015 Projected General Fund Balance (Unassigned Funds):</t>
  </si>
  <si>
    <t>FY 2014 Actual Beginning Balance</t>
  </si>
  <si>
    <t xml:space="preserve">  FY 2014 Projected Expenditures</t>
  </si>
  <si>
    <t>FY 2015 Projected Beginning Balance (3)</t>
  </si>
  <si>
    <t>FY 2015 Projected Assessment Revenues</t>
  </si>
  <si>
    <t>FY 2015 Projected Total Funds Available</t>
  </si>
  <si>
    <t>Per FY 2014 Budget</t>
  </si>
  <si>
    <t>Total Amount</t>
  </si>
  <si>
    <t>Projected Balances- 2014</t>
  </si>
  <si>
    <t>2014 Projected Expenses</t>
  </si>
  <si>
    <t>Total Projected Expenses</t>
  </si>
  <si>
    <t>2015 Projected Revenues</t>
  </si>
  <si>
    <t xml:space="preserve">2014 Balance allocated to 2015 </t>
  </si>
  <si>
    <t>Net Assessment Revenue for 2014</t>
  </si>
  <si>
    <t>2015 Est County Fees/LAFCO</t>
  </si>
  <si>
    <t>Umpqua Checking @ 12/31/13</t>
  </si>
  <si>
    <t>Mother Lode Checking @ 12/31/13</t>
  </si>
  <si>
    <t>Less Current Liabilities @ 12/31/13</t>
  </si>
  <si>
    <t>Net Revenue/Expense @ 12/31/14</t>
  </si>
  <si>
    <t>2014 Income Assigned to 2015</t>
  </si>
  <si>
    <t>Net Unassigned Balance @ 12/31/14</t>
  </si>
  <si>
    <t>Less 12/31/14 Stabilization</t>
  </si>
  <si>
    <t>General Operations FYE 12/31/15</t>
  </si>
  <si>
    <t>Total General Fund @ 12/31/14</t>
  </si>
  <si>
    <t>FY 2015 EMPLOYEE CLASSIFICATION &amp; SALARY SCHEDULE</t>
  </si>
  <si>
    <t>FY 2015 BUDGET CATEGORY IDENTIFICATION</t>
  </si>
  <si>
    <t>Vrisimo Flail Mower</t>
  </si>
  <si>
    <t>Payments through 9/30/2014</t>
  </si>
  <si>
    <t>As of 9/30/2014</t>
  </si>
  <si>
    <t>CD Balances @ 9/30/14 (2)</t>
  </si>
  <si>
    <t>CD Balances as of 9/30/14</t>
  </si>
  <si>
    <t>RECONCILIATION SHOULD BE COMPLETED FOR FINAL CALCULATIONS</t>
  </si>
  <si>
    <t xml:space="preserve">FY 2014 Projected Assessment Revenue </t>
  </si>
  <si>
    <t>Payroll Projections for 2015</t>
  </si>
  <si>
    <t>Scheduled Step Increases Included</t>
  </si>
  <si>
    <t>Estimated Annual Employer Taxes (Based on 2014 Rates)</t>
  </si>
  <si>
    <t>Job Title</t>
  </si>
  <si>
    <t>Step Increase Effective Date</t>
  </si>
  <si>
    <t>Current Hourly Rate</t>
  </si>
  <si>
    <t>New Hourly Rate</t>
  </si>
  <si>
    <t>Est. Hours @ Current Rate (1)</t>
  </si>
  <si>
    <t>Est. Hours @ New Rate (1)</t>
  </si>
  <si>
    <t>Semi-Monthly Salary</t>
  </si>
  <si>
    <t>Projected Annual Gross</t>
  </si>
  <si>
    <t>IRA Gross Amt. (See Below)</t>
  </si>
  <si>
    <t>Total Gross</t>
  </si>
  <si>
    <t>Soc. Sec.</t>
  </si>
  <si>
    <t>Medicare</t>
  </si>
  <si>
    <t>FUTA (6)</t>
  </si>
  <si>
    <t>SUI/ETT</t>
  </si>
  <si>
    <t>Total Est. Employer Taxes</t>
  </si>
  <si>
    <t>Health Insurance (2)</t>
  </si>
  <si>
    <t>Est. Payroll Cost (Gross/Taxes/Health Ins)</t>
  </si>
  <si>
    <t>Est. Workers' Comp. (3)</t>
  </si>
  <si>
    <t>Greg Hebard</t>
  </si>
  <si>
    <t>Maint. Mgr.</t>
  </si>
  <si>
    <t>Salary</t>
  </si>
  <si>
    <t>Ralph McGeorge</t>
  </si>
  <si>
    <t>Maint. Sprvsr.</t>
  </si>
  <si>
    <t>Mark Dunlop</t>
  </si>
  <si>
    <t>LM1</t>
  </si>
  <si>
    <t>Hernan Hernandez</t>
  </si>
  <si>
    <t>Brad Nickell</t>
  </si>
  <si>
    <t>Jason Price</t>
  </si>
  <si>
    <t>Dolores Baker</t>
  </si>
  <si>
    <t>Bookkeeper</t>
  </si>
  <si>
    <t>Michelle Menzies</t>
  </si>
  <si>
    <t>Clerk/Treasurer</t>
  </si>
  <si>
    <t>Directors' Stipends (P/R Taxes &amp; Worker's Comp Only)  (5)</t>
  </si>
  <si>
    <t>(1) Based on total work/paid days for 2015: 261 days @ 8 hours/day = 2088</t>
  </si>
  <si>
    <t>(2) Health Insurance from SDRMA schedule of 2015 Rates for Jan-Nov + estimated 10% increase for Dec. (Premiums paid one month in advance.)</t>
  </si>
  <si>
    <t>(3) Workers' Comp. based on  2014-2015 rates plus an estimate of the potential audit premium, with estimate for potential 2015-2016 rate increase.</t>
  </si>
  <si>
    <t xml:space="preserve">         (See Workeres' Compensation tab for calculation.)</t>
  </si>
  <si>
    <t>(4) Clerk/Treasurer Projected Annual Gross same as 2014 projection.</t>
  </si>
  <si>
    <t>(5) Directors' stipends listed separately on budget; P/R Taxes &amp; Workers' Comp included with Payroll totals.</t>
  </si>
  <si>
    <t xml:space="preserve">         (Amounts based on gross stipend of $1200/year each for 5 directors.)</t>
  </si>
  <si>
    <t>(6) FUTA rate based on 0.60% base FUTA rate for 2014 + 0.90% potential credit reduction (same as charged in 2013) - Total 1.50%.</t>
  </si>
  <si>
    <t>Employer Tax Rates - 2014</t>
  </si>
  <si>
    <t>Greg Hebard - Estimate</t>
  </si>
  <si>
    <t>Wage Limit</t>
  </si>
  <si>
    <t>IRA - 2015</t>
  </si>
  <si>
    <t xml:space="preserve">Soc. Sec. </t>
  </si>
  <si>
    <t>No Limit</t>
  </si>
  <si>
    <t>Gross</t>
  </si>
  <si>
    <t>FUTA (5)</t>
  </si>
  <si>
    <t>FICA</t>
  </si>
  <si>
    <t>SUI</t>
  </si>
  <si>
    <t>MCARE</t>
  </si>
  <si>
    <t>ETT</t>
  </si>
  <si>
    <t>SDI</t>
  </si>
  <si>
    <t>Ralph McGeorge - Estimate</t>
  </si>
  <si>
    <t>SDRMA Health Insurance plan</t>
  </si>
  <si>
    <t>Estimated Premiums for 2015</t>
  </si>
  <si>
    <t>2008 Monthly Premium</t>
  </si>
  <si>
    <t>2009 Monthly Premium</t>
  </si>
  <si>
    <t>2010 Monthly Premium</t>
  </si>
  <si>
    <t>2011  Monthly Premium</t>
  </si>
  <si>
    <t>2012  Monthly Premium</t>
  </si>
  <si>
    <t>2013 Monthly Premium</t>
  </si>
  <si>
    <t>2014 Monthly Premium</t>
  </si>
  <si>
    <t>2015 Monthly Premium</t>
  </si>
  <si>
    <t>Est for Jan 2016 - paid in Dec 2015</t>
  </si>
  <si>
    <t>Est Annual Premium for 2015</t>
  </si>
  <si>
    <t>Phyllis Richards</t>
  </si>
  <si>
    <t>% Increase over prior year</t>
  </si>
  <si>
    <t xml:space="preserve">SDRMA Workers' Compensation </t>
  </si>
  <si>
    <t>Estimated Premium for 2015</t>
  </si>
  <si>
    <t>Est. Annual Gross</t>
  </si>
  <si>
    <t>W/C Classification</t>
  </si>
  <si>
    <t>W/C Rate 2013-2014</t>
  </si>
  <si>
    <t>Est. Annual Premium</t>
  </si>
  <si>
    <t>0005</t>
  </si>
  <si>
    <t>8810</t>
  </si>
  <si>
    <t>Directors</t>
  </si>
  <si>
    <t>8842-P</t>
  </si>
  <si>
    <t>(per capita rate)</t>
  </si>
  <si>
    <t>Total Estimated Annual Premium Based on Manual Rates</t>
  </si>
  <si>
    <t>Premium as adjusted by Loss Modification</t>
  </si>
  <si>
    <t>Percentage CIP Discount (based on prior years)</t>
  </si>
  <si>
    <t>Estimated Discounted Premium</t>
  </si>
  <si>
    <t>Less: 5% Multi-Program Discount</t>
  </si>
  <si>
    <t>Net Estimated Annual Premium</t>
  </si>
  <si>
    <t>Actual Payments Scheduled for 2014-2015 Fiscal Year:</t>
  </si>
  <si>
    <t xml:space="preserve">4 qtrs @ </t>
  </si>
  <si>
    <t>Potential Additional Audit Premium</t>
  </si>
  <si>
    <t>Total Estimated Expense</t>
  </si>
  <si>
    <t>Estimate at:</t>
  </si>
  <si>
    <t>Use Estimated Annual Premium based on Manual Rates</t>
  </si>
  <si>
    <t>Positions Authorized</t>
  </si>
  <si>
    <t>Positions Filled</t>
  </si>
  <si>
    <t>Maintenance Manager</t>
  </si>
  <si>
    <t>Maintenance Supervisor</t>
  </si>
  <si>
    <t>Landscape Maint. II</t>
  </si>
  <si>
    <t>Landscape Maint. I</t>
  </si>
  <si>
    <t>Part-Time Maint.   I</t>
  </si>
  <si>
    <t>CSD Clerk/Treasurer</t>
  </si>
  <si>
    <t>FY 2015 Salary Schedule</t>
  </si>
  <si>
    <t>Annual amount paid monthly</t>
  </si>
  <si>
    <t>NA</t>
  </si>
  <si>
    <t>1/2 ton Pickup</t>
  </si>
  <si>
    <t>(2 proposed for 5 year lease)</t>
  </si>
  <si>
    <t>Workman HD w/dump bed</t>
  </si>
  <si>
    <t>(1 proposed for 5 year lease)</t>
  </si>
  <si>
    <t>Projected FY 2014</t>
  </si>
  <si>
    <t>Proposed FY 2015</t>
  </si>
  <si>
    <t>Approved 2014</t>
  </si>
  <si>
    <t>Actual 2012</t>
  </si>
  <si>
    <t>Actual 2013</t>
  </si>
  <si>
    <t>Clerk hours</t>
  </si>
  <si>
    <t>week</t>
  </si>
  <si>
    <t>month</t>
  </si>
  <si>
    <t>year</t>
  </si>
  <si>
    <t>Records upgrade contract</t>
  </si>
  <si>
    <t>hours</t>
  </si>
  <si>
    <t>pay</t>
  </si>
  <si>
    <t>total</t>
  </si>
  <si>
    <t>Records Management Services</t>
  </si>
  <si>
    <t>FY 2015 Proposed Budget (Operational Expenses, Personnel &amp; Capital Outlay)</t>
  </si>
  <si>
    <t>REVENUE</t>
  </si>
  <si>
    <t>Special Tax</t>
  </si>
  <si>
    <t>Reimbursement for Maintenance and Repair</t>
  </si>
  <si>
    <t>TOTAL REVENUE</t>
  </si>
  <si>
    <t>Other Revenue (Vacant Lot Mowing Fee)</t>
  </si>
  <si>
    <t>DRAFT 2015 BUDGET-EXHIBIT "A" Page 1 of 2</t>
  </si>
  <si>
    <t>TOTAL EXPENSES</t>
  </si>
  <si>
    <t>TOTAL BUDGET</t>
  </si>
  <si>
    <t>OVER (UNDER)</t>
  </si>
  <si>
    <t>UNRESTRICTED FUNDS AVAILABLE</t>
  </si>
  <si>
    <t>2015 Draft Budget/Exhibit "A" Page 2 of 2</t>
  </si>
  <si>
    <t>Health Insurance Benefits are provided to the following Employee Classifications after completion of 90 days full time employment with the District; 1) Maintenance Manager, 2) Maintenance Supervisor, 3) Maintenance II and 4) Maintenance I. The District does not pay for Health Insurance Coverage for 1) Employee Dependants, 2) Directors, 3) the General Manager, 4) the CSD Clerk/Treasurer, 5) the Bookkeeper or 6) Part-Time Employees.</t>
  </si>
  <si>
    <t>AMOUNT</t>
  </si>
  <si>
    <t>PROJECTED BALANCE UNRESTRICTED FUNDS AT 12/31/2015</t>
  </si>
  <si>
    <t>INCREASE IN EXPENSES OVER 2014 (BUDGETED)</t>
  </si>
  <si>
    <t>INCREASE IN SPECIAL TAX OVER 2014 (BUDGETED)</t>
  </si>
  <si>
    <t>SCCSD Tax Roll Charges</t>
  </si>
  <si>
    <t>2001-02 </t>
  </si>
  <si>
    <t>2002-03</t>
  </si>
  <si>
    <t>2003-04</t>
  </si>
  <si>
    <t>2004-05</t>
  </si>
  <si>
    <t>2005-06</t>
  </si>
  <si>
    <t>2006-07</t>
  </si>
  <si>
    <t>2007-08</t>
  </si>
  <si>
    <t>2008-09</t>
  </si>
  <si>
    <t>2009-10</t>
  </si>
  <si>
    <t>2010-11</t>
  </si>
  <si>
    <t>2011-12</t>
  </si>
  <si>
    <t>2012-13</t>
  </si>
  <si>
    <t>2013-14</t>
  </si>
  <si>
    <t>2014-15  </t>
  </si>
  <si>
    <t>Lots</t>
  </si>
  <si>
    <t>Total</t>
  </si>
  <si>
    <t>Replacement</t>
  </si>
  <si>
    <t>Beginning 2015 Hourly Rate</t>
  </si>
  <si>
    <t>Hernan</t>
  </si>
  <si>
    <t>Brad</t>
  </si>
  <si>
    <t>Days at new step</t>
  </si>
  <si>
    <t>Days at old step</t>
  </si>
  <si>
    <t>% paydays at new</t>
  </si>
  <si>
    <t>% paydays at old</t>
  </si>
  <si>
    <t>FY 2015 SALARY SCHEDULE</t>
  </si>
  <si>
    <t>f)</t>
  </si>
  <si>
    <t>The Maintenance II position is intended as an opportunity for advancement with a 10% salary increase at step 1; intended to prepare the employee for the supervisory position.  In advancing from Maintenance I to Maintenance II, the employee will advance to the step within the Maintenance II scale that provides a minimum 5% salary increase</t>
  </si>
  <si>
    <t>g)</t>
  </si>
  <si>
    <t xml:space="preserve">Salary steps are not automatic and are intended to provide employees advancement opportunity both in responsibility and pay.  Typically, a minimum of one year is worked at a particular salary step before consideration of advancement.  Following one year, a positive performance evaluation showing added value to the District, the supervisor may request that an employee be advanced to the next salary step </t>
  </si>
  <si>
    <t>Maintenance I wages 2015</t>
  </si>
  <si>
    <t>Maintenance I total wages 2014</t>
  </si>
  <si>
    <t>Increase</t>
  </si>
  <si>
    <t>When entire salary step ranges are adjusted at budget development at a rate &gt;the amount an employee would receive with the cost of living increse (if awarded) plus the amount of the next step increase for which they are eligible, then those employees within the adjusted range will be placed at the appropriate step where they receive a pay increase equal to or greater than the % of CPI adjustments, and may not be eleigible for consideration for the merit step increase during that budfget year.  This provides additional future advancement  steps</t>
  </si>
  <si>
    <t>h)</t>
  </si>
  <si>
    <t>Saddle Creek CSD meets on the third Tuesday of each month. Directors receive a stipend of $100 for attending the meeting. Directors who miss a meeting are not compensated. The annual stipend for a director who attends all CSD meetings is $1,200. Directors are also compensated for approved training, conferences, special board meetings and other approved functions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</si>
</sst>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0.0%"/>
  </numFmts>
  <fonts count="20" x14ac:knownFonts="1">
    <font>
      <sz val="10"/>
      <name val="Arial"/>
    </font>
    <font>
      <sz val="11"/>
      <color theme="1"/>
      <name val="Calibri"/>
      <family val="2"/>
      <scheme val="minor"/>
    </font>
    <font>
      <sz val="10"/>
      <name val="Arial"/>
      <family val="2"/>
    </font>
    <font>
      <sz val="8"/>
      <name val="Arial"/>
      <family val="2"/>
    </font>
    <font>
      <u/>
      <sz val="10"/>
      <name val="Arial"/>
      <family val="2"/>
    </font>
    <font>
      <sz val="10"/>
      <name val="Arial"/>
      <family val="2"/>
    </font>
    <font>
      <sz val="10"/>
      <color indexed="10"/>
      <name val="Arial"/>
      <family val="2"/>
    </font>
    <font>
      <u/>
      <sz val="8"/>
      <name val="Arial"/>
      <family val="2"/>
    </font>
    <font>
      <u/>
      <sz val="10"/>
      <name val="Arial"/>
      <family val="2"/>
    </font>
    <font>
      <sz val="10"/>
      <color indexed="8"/>
      <name val="Arial"/>
      <family val="2"/>
    </font>
    <font>
      <u/>
      <sz val="10"/>
      <color indexed="8"/>
      <name val="Arial"/>
      <family val="2"/>
    </font>
    <font>
      <u/>
      <sz val="8"/>
      <color indexed="8"/>
      <name val="Arial"/>
      <family val="2"/>
    </font>
    <font>
      <sz val="8"/>
      <color indexed="8"/>
      <name val="Arial"/>
      <family val="2"/>
    </font>
    <font>
      <sz val="12"/>
      <name val="Arial"/>
      <family val="2"/>
    </font>
    <font>
      <sz val="9"/>
      <name val="Arial"/>
      <family val="2"/>
    </font>
    <font>
      <sz val="10"/>
      <color theme="1"/>
      <name val="Arial"/>
      <family val="2"/>
    </font>
    <font>
      <sz val="10"/>
      <name val="Arial"/>
    </font>
    <font>
      <b/>
      <sz val="10"/>
      <color indexed="10"/>
      <name val="Arial"/>
      <family val="2"/>
    </font>
    <font>
      <b/>
      <sz val="10"/>
      <name val="Arial"/>
      <family val="2"/>
    </font>
    <font>
      <b/>
      <u/>
      <sz val="10"/>
      <color indexed="8"/>
      <name val="Arial"/>
      <family val="2"/>
    </font>
  </fonts>
  <fills count="6">
    <fill>
      <patternFill patternType="none"/>
    </fill>
    <fill>
      <patternFill patternType="gray125"/>
    </fill>
    <fill>
      <patternFill patternType="solid">
        <fgColor indexed="27"/>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CCFFFF"/>
        <bgColor indexed="64"/>
      </patternFill>
    </fill>
  </fills>
  <borders count="8">
    <border>
      <left/>
      <right/>
      <top/>
      <bottom/>
      <diagonal/>
    </border>
    <border>
      <left/>
      <right/>
      <top/>
      <bottom style="thin">
        <color indexed="64"/>
      </bottom>
      <diagonal/>
    </border>
    <border>
      <left/>
      <right/>
      <top style="double">
        <color indexed="64"/>
      </top>
      <bottom/>
      <diagonal/>
    </border>
    <border>
      <left/>
      <right/>
      <top/>
      <bottom style="double">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medium">
        <color indexed="64"/>
      </bottom>
      <diagonal/>
    </border>
  </borders>
  <cellStyleXfs count="8">
    <xf numFmtId="0" fontId="0" fillId="0" borderId="0"/>
    <xf numFmtId="44" fontId="2" fillId="0" borderId="0" applyFont="0" applyFill="0" applyBorder="0" applyAlignment="0" applyProtection="0"/>
    <xf numFmtId="0" fontId="2" fillId="0" borderId="0"/>
    <xf numFmtId="43" fontId="16" fillId="0" borderId="0" applyFont="0" applyFill="0" applyBorder="0" applyAlignment="0" applyProtection="0"/>
    <xf numFmtId="9" fontId="16"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72">
    <xf numFmtId="0" fontId="0" fillId="0" borderId="0" xfId="0"/>
    <xf numFmtId="6" fontId="0" fillId="0" borderId="0" xfId="0" applyNumberFormat="1"/>
    <xf numFmtId="3" fontId="0" fillId="0" borderId="0" xfId="0" applyNumberFormat="1"/>
    <xf numFmtId="0" fontId="3" fillId="0" borderId="0" xfId="0" applyFont="1"/>
    <xf numFmtId="6" fontId="8" fillId="0" borderId="0" xfId="0" applyNumberFormat="1" applyFont="1"/>
    <xf numFmtId="8" fontId="0" fillId="0" borderId="0" xfId="0" applyNumberFormat="1"/>
    <xf numFmtId="0" fontId="5" fillId="0" borderId="0" xfId="0" applyFont="1"/>
    <xf numFmtId="0" fontId="3" fillId="0" borderId="0" xfId="0" applyFont="1" applyAlignment="1">
      <alignment horizontal="center"/>
    </xf>
    <xf numFmtId="0" fontId="7" fillId="0" borderId="0" xfId="0" applyFont="1" applyAlignment="1">
      <alignment horizontal="center"/>
    </xf>
    <xf numFmtId="0" fontId="4" fillId="0" borderId="0" xfId="0" applyFont="1"/>
    <xf numFmtId="0" fontId="7" fillId="0" borderId="0" xfId="0" applyFont="1"/>
    <xf numFmtId="0" fontId="5" fillId="0" borderId="0" xfId="0" applyFont="1" applyAlignment="1">
      <alignment horizontal="right"/>
    </xf>
    <xf numFmtId="0" fontId="0" fillId="0" borderId="1" xfId="0" applyBorder="1"/>
    <xf numFmtId="6" fontId="5" fillId="0" borderId="0" xfId="0" applyNumberFormat="1" applyFont="1" applyAlignment="1">
      <alignment horizontal="left"/>
    </xf>
    <xf numFmtId="0" fontId="4" fillId="0" borderId="0" xfId="0" applyFont="1" applyAlignment="1">
      <alignment horizontal="center"/>
    </xf>
    <xf numFmtId="0" fontId="12" fillId="0" borderId="2" xfId="0" applyFont="1" applyBorder="1" applyAlignment="1">
      <alignment horizontal="right" wrapText="1"/>
    </xf>
    <xf numFmtId="0" fontId="12" fillId="0" borderId="3" xfId="0" applyFont="1" applyBorder="1" applyAlignment="1">
      <alignment horizontal="right" wrapText="1"/>
    </xf>
    <xf numFmtId="0" fontId="6" fillId="0" borderId="0" xfId="0" applyFont="1"/>
    <xf numFmtId="9" fontId="0" fillId="0" borderId="0" xfId="0" applyNumberFormat="1"/>
    <xf numFmtId="0" fontId="10" fillId="0" borderId="0" xfId="0" applyFont="1" applyAlignment="1">
      <alignment horizontal="left" vertical="center" readingOrder="1"/>
    </xf>
    <xf numFmtId="0" fontId="9" fillId="0" borderId="0" xfId="0" applyFont="1" applyAlignment="1">
      <alignment horizontal="left" vertical="center" readingOrder="1"/>
    </xf>
    <xf numFmtId="0" fontId="10" fillId="0" borderId="0" xfId="0" applyFont="1"/>
    <xf numFmtId="0" fontId="2" fillId="0" borderId="0" xfId="0" applyFont="1"/>
    <xf numFmtId="0" fontId="11" fillId="0" borderId="0" xfId="0" applyFont="1"/>
    <xf numFmtId="0" fontId="12" fillId="0" borderId="0" xfId="0" applyFont="1"/>
    <xf numFmtId="6" fontId="12" fillId="0" borderId="1" xfId="0" applyNumberFormat="1" applyFont="1" applyBorder="1"/>
    <xf numFmtId="6" fontId="3" fillId="0" borderId="4" xfId="0" applyNumberFormat="1" applyFont="1" applyBorder="1"/>
    <xf numFmtId="0" fontId="12" fillId="0" borderId="2" xfId="0" applyFont="1" applyBorder="1" applyAlignment="1">
      <alignment horizontal="left" wrapText="1"/>
    </xf>
    <xf numFmtId="0" fontId="12" fillId="0" borderId="0" xfId="0" applyFont="1" applyBorder="1"/>
    <xf numFmtId="0" fontId="3" fillId="0" borderId="0" xfId="0" applyFont="1" applyBorder="1"/>
    <xf numFmtId="0" fontId="0" fillId="0" borderId="0" xfId="0" applyBorder="1"/>
    <xf numFmtId="0" fontId="12" fillId="0" borderId="3" xfId="0" applyFont="1" applyBorder="1" applyAlignment="1">
      <alignment wrapText="1"/>
    </xf>
    <xf numFmtId="0" fontId="2" fillId="0" borderId="0" xfId="0" quotePrefix="1" applyFont="1"/>
    <xf numFmtId="6" fontId="3" fillId="2" borderId="3" xfId="0" applyNumberFormat="1" applyFont="1" applyFill="1" applyBorder="1" applyAlignment="1">
      <alignment horizontal="left"/>
    </xf>
    <xf numFmtId="6" fontId="11" fillId="2" borderId="0" xfId="0" applyNumberFormat="1" applyFont="1" applyFill="1"/>
    <xf numFmtId="6" fontId="2" fillId="0" borderId="0" xfId="0" applyNumberFormat="1" applyFont="1"/>
    <xf numFmtId="6" fontId="3" fillId="2" borderId="2" xfId="0" applyNumberFormat="1" applyFont="1" applyFill="1" applyBorder="1" applyAlignment="1">
      <alignment horizontal="left"/>
    </xf>
    <xf numFmtId="0" fontId="13" fillId="0" borderId="0" xfId="0" applyFont="1"/>
    <xf numFmtId="0" fontId="2" fillId="0" borderId="0" xfId="0" applyFont="1" applyAlignment="1">
      <alignment horizontal="left"/>
    </xf>
    <xf numFmtId="6" fontId="2" fillId="3" borderId="0" xfId="0" applyNumberFormat="1" applyFont="1" applyFill="1"/>
    <xf numFmtId="14" fontId="0" fillId="0" borderId="0" xfId="0" applyNumberFormat="1"/>
    <xf numFmtId="6" fontId="2" fillId="0" borderId="0" xfId="0" applyNumberFormat="1" applyFont="1" applyAlignment="1">
      <alignment horizontal="left"/>
    </xf>
    <xf numFmtId="6" fontId="0" fillId="0" borderId="1" xfId="0" applyNumberFormat="1" applyBorder="1"/>
    <xf numFmtId="6" fontId="0" fillId="3" borderId="1" xfId="0" applyNumberFormat="1" applyFill="1" applyBorder="1"/>
    <xf numFmtId="6" fontId="0" fillId="3" borderId="0" xfId="0" applyNumberFormat="1" applyFill="1"/>
    <xf numFmtId="6" fontId="2" fillId="0" borderId="1" xfId="0" applyNumberFormat="1" applyFont="1" applyBorder="1"/>
    <xf numFmtId="6" fontId="2" fillId="0" borderId="0" xfId="1" applyNumberFormat="1" applyFont="1"/>
    <xf numFmtId="6" fontId="0" fillId="3" borderId="4" xfId="0" applyNumberFormat="1" applyFill="1" applyBorder="1"/>
    <xf numFmtId="6" fontId="0" fillId="0" borderId="0" xfId="0" applyNumberFormat="1" applyBorder="1"/>
    <xf numFmtId="6" fontId="2" fillId="0" borderId="0" xfId="1" applyNumberFormat="1" applyFont="1" applyBorder="1"/>
    <xf numFmtId="6" fontId="2" fillId="0" borderId="1" xfId="1" applyNumberFormat="1" applyFont="1" applyBorder="1"/>
    <xf numFmtId="6" fontId="2" fillId="4" borderId="4" xfId="0" applyNumberFormat="1" applyFont="1" applyFill="1" applyBorder="1"/>
    <xf numFmtId="6" fontId="11" fillId="0" borderId="0" xfId="0" applyNumberFormat="1" applyFont="1" applyFill="1"/>
    <xf numFmtId="6" fontId="3" fillId="5" borderId="2" xfId="0" applyNumberFormat="1" applyFont="1" applyFill="1" applyBorder="1" applyAlignment="1">
      <alignment horizontal="left"/>
    </xf>
    <xf numFmtId="6" fontId="3" fillId="0" borderId="0" xfId="0" applyNumberFormat="1" applyFont="1" applyFill="1" applyBorder="1" applyAlignment="1">
      <alignment horizontal="left"/>
    </xf>
    <xf numFmtId="14" fontId="0" fillId="0" borderId="0" xfId="0" applyNumberFormat="1" applyAlignment="1">
      <alignment horizontal="right"/>
    </xf>
    <xf numFmtId="44" fontId="0" fillId="0" borderId="1" xfId="1" applyFont="1" applyBorder="1"/>
    <xf numFmtId="44" fontId="0" fillId="0" borderId="0" xfId="0" applyNumberFormat="1"/>
    <xf numFmtId="14" fontId="2" fillId="0" borderId="0" xfId="0" applyNumberFormat="1" applyFont="1"/>
    <xf numFmtId="6" fontId="2" fillId="0" borderId="0" xfId="2" applyNumberFormat="1"/>
    <xf numFmtId="8" fontId="2" fillId="0" borderId="0" xfId="2" applyNumberFormat="1"/>
    <xf numFmtId="0" fontId="2" fillId="0" borderId="0" xfId="2" applyAlignment="1">
      <alignment horizontal="center"/>
    </xf>
    <xf numFmtId="0" fontId="14" fillId="0" borderId="0" xfId="0" applyFont="1" applyAlignment="1">
      <alignment horizontal="left" vertical="top" wrapText="1"/>
    </xf>
    <xf numFmtId="0" fontId="14" fillId="0" borderId="0" xfId="0" applyFont="1" applyAlignment="1">
      <alignment horizontal="right"/>
    </xf>
    <xf numFmtId="0" fontId="14" fillId="0" borderId="0" xfId="0" applyFont="1"/>
    <xf numFmtId="0" fontId="14" fillId="0" borderId="0" xfId="0" applyFont="1" applyAlignment="1">
      <alignment vertical="top" wrapText="1"/>
    </xf>
    <xf numFmtId="6" fontId="3" fillId="0" borderId="0" xfId="0" applyNumberFormat="1" applyFont="1" applyBorder="1"/>
    <xf numFmtId="6" fontId="7" fillId="0" borderId="0" xfId="0" applyNumberFormat="1" applyFont="1"/>
    <xf numFmtId="6" fontId="0" fillId="0" borderId="4" xfId="0" applyNumberFormat="1" applyBorder="1"/>
    <xf numFmtId="6" fontId="0" fillId="0" borderId="5" xfId="0" applyNumberFormat="1" applyBorder="1"/>
    <xf numFmtId="6" fontId="2" fillId="3" borderId="4" xfId="0" applyNumberFormat="1" applyFont="1" applyFill="1" applyBorder="1"/>
    <xf numFmtId="6" fontId="0" fillId="3" borderId="3" xfId="0" applyNumberFormat="1" applyFill="1" applyBorder="1"/>
    <xf numFmtId="14" fontId="0" fillId="0" borderId="0" xfId="0" applyNumberFormat="1" applyAlignment="1">
      <alignment horizontal="left"/>
    </xf>
    <xf numFmtId="43" fontId="0" fillId="0" borderId="0" xfId="0" applyNumberFormat="1"/>
    <xf numFmtId="43" fontId="0" fillId="0" borderId="1" xfId="0" applyNumberFormat="1" applyBorder="1"/>
    <xf numFmtId="43" fontId="0" fillId="0" borderId="0" xfId="0" applyNumberFormat="1" applyBorder="1"/>
    <xf numFmtId="43" fontId="0" fillId="0" borderId="6" xfId="0" applyNumberFormat="1" applyBorder="1"/>
    <xf numFmtId="43" fontId="2" fillId="0" borderId="0" xfId="0" applyNumberFormat="1" applyFont="1"/>
    <xf numFmtId="0" fontId="2" fillId="0" borderId="0" xfId="0" applyNumberFormat="1" applyFont="1"/>
    <xf numFmtId="44" fontId="2" fillId="0" borderId="0" xfId="0" applyNumberFormat="1" applyFont="1"/>
    <xf numFmtId="6" fontId="0" fillId="0" borderId="3" xfId="0" applyNumberFormat="1" applyBorder="1"/>
    <xf numFmtId="44" fontId="0" fillId="0" borderId="0" xfId="1" applyFont="1"/>
    <xf numFmtId="44" fontId="0" fillId="0" borderId="6" xfId="0" applyNumberFormat="1" applyBorder="1"/>
    <xf numFmtId="0" fontId="14" fillId="0" borderId="0" xfId="0" applyFont="1" applyAlignment="1">
      <alignment vertical="top" wrapText="1"/>
    </xf>
    <xf numFmtId="0" fontId="14" fillId="0" borderId="0" xfId="0" applyFont="1" applyAlignment="1">
      <alignment horizontal="left" vertical="top" wrapText="1"/>
    </xf>
    <xf numFmtId="0" fontId="0" fillId="0" borderId="0" xfId="0" applyAlignment="1">
      <alignment horizontal="center"/>
    </xf>
    <xf numFmtId="43" fontId="0" fillId="0" borderId="0" xfId="3" applyFont="1"/>
    <xf numFmtId="43" fontId="17" fillId="0" borderId="0" xfId="3" applyFont="1"/>
    <xf numFmtId="43" fontId="2" fillId="0" borderId="0" xfId="3" applyFont="1"/>
    <xf numFmtId="0" fontId="0" fillId="0" borderId="0" xfId="0" applyAlignment="1">
      <alignment horizontal="center" wrapText="1"/>
    </xf>
    <xf numFmtId="43" fontId="0" fillId="0" borderId="0" xfId="3" applyFont="1" applyAlignment="1">
      <alignment horizontal="center" wrapText="1"/>
    </xf>
    <xf numFmtId="43" fontId="0" fillId="0" borderId="0" xfId="3" applyFont="1" applyBorder="1"/>
    <xf numFmtId="43" fontId="0" fillId="0" borderId="0" xfId="3" applyFont="1" applyAlignment="1">
      <alignment horizontal="center"/>
    </xf>
    <xf numFmtId="10" fontId="0" fillId="0" borderId="0" xfId="3" applyNumberFormat="1" applyFont="1"/>
    <xf numFmtId="43" fontId="0" fillId="0" borderId="0" xfId="3" applyFont="1" applyAlignment="1">
      <alignment horizontal="right"/>
    </xf>
    <xf numFmtId="0" fontId="18" fillId="0" borderId="0" xfId="0" applyFont="1"/>
    <xf numFmtId="17" fontId="18" fillId="0" borderId="0" xfId="0" applyNumberFormat="1" applyFont="1" applyAlignment="1">
      <alignment horizontal="center" wrapText="1"/>
    </xf>
    <xf numFmtId="0" fontId="18" fillId="0" borderId="0" xfId="0" applyFont="1" applyAlignment="1">
      <alignment horizontal="center" wrapText="1"/>
    </xf>
    <xf numFmtId="0" fontId="0" fillId="0" borderId="0" xfId="0" applyAlignment="1">
      <alignment wrapText="1"/>
    </xf>
    <xf numFmtId="10" fontId="0" fillId="0" borderId="0" xfId="0" applyNumberFormat="1"/>
    <xf numFmtId="0" fontId="0" fillId="0" borderId="0" xfId="0" applyAlignment="1">
      <alignment horizontal="right"/>
    </xf>
    <xf numFmtId="0" fontId="18" fillId="0" borderId="0" xfId="0" applyFont="1" applyAlignment="1">
      <alignment horizontal="center"/>
    </xf>
    <xf numFmtId="0" fontId="0" fillId="0" borderId="0" xfId="0" quotePrefix="1" applyAlignment="1">
      <alignment horizontal="center"/>
    </xf>
    <xf numFmtId="164" fontId="0" fillId="0" borderId="0" xfId="1" applyNumberFormat="1" applyFont="1"/>
    <xf numFmtId="0" fontId="2" fillId="0" borderId="0" xfId="0" applyFont="1" applyBorder="1"/>
    <xf numFmtId="0" fontId="0" fillId="0" borderId="7" xfId="0" applyBorder="1"/>
    <xf numFmtId="8" fontId="0" fillId="0" borderId="0" xfId="0" applyNumberFormat="1" applyAlignment="1">
      <alignment horizontal="right"/>
    </xf>
    <xf numFmtId="0" fontId="2" fillId="0" borderId="0" xfId="2" applyAlignment="1">
      <alignment horizontal="right"/>
    </xf>
    <xf numFmtId="8" fontId="0" fillId="0" borderId="0" xfId="3" applyNumberFormat="1" applyFont="1"/>
    <xf numFmtId="164" fontId="2" fillId="0" borderId="0" xfId="1" applyNumberFormat="1" applyFont="1" applyAlignment="1">
      <alignment horizontal="center"/>
    </xf>
    <xf numFmtId="0" fontId="11" fillId="0" borderId="0" xfId="0" applyFont="1" applyAlignment="1">
      <alignment horizontal="center" wrapText="1"/>
    </xf>
    <xf numFmtId="9" fontId="0" fillId="0" borderId="0" xfId="4" applyNumberFormat="1" applyFont="1"/>
    <xf numFmtId="0" fontId="18" fillId="0" borderId="6" xfId="0" applyFont="1" applyBorder="1"/>
    <xf numFmtId="0" fontId="18" fillId="0" borderId="1" xfId="0" applyFont="1" applyBorder="1"/>
    <xf numFmtId="0" fontId="19" fillId="0" borderId="0" xfId="0" applyFont="1" applyAlignment="1">
      <alignment horizontal="left" vertical="center" readingOrder="1"/>
    </xf>
    <xf numFmtId="9" fontId="0" fillId="0" borderId="0" xfId="4" applyFont="1"/>
    <xf numFmtId="0" fontId="19" fillId="0" borderId="0" xfId="0" applyFont="1"/>
    <xf numFmtId="6" fontId="13" fillId="0" borderId="0" xfId="0" applyNumberFormat="1" applyFont="1"/>
    <xf numFmtId="6" fontId="13" fillId="0" borderId="6" xfId="0" applyNumberFormat="1" applyFont="1" applyBorder="1"/>
    <xf numFmtId="165" fontId="13" fillId="0" borderId="0" xfId="4" applyNumberFormat="1" applyFont="1"/>
    <xf numFmtId="0" fontId="14" fillId="0" borderId="0" xfId="0" applyFont="1" applyAlignment="1">
      <alignment vertical="top" wrapText="1"/>
    </xf>
    <xf numFmtId="0" fontId="14" fillId="0" borderId="0" xfId="0" applyFont="1" applyAlignment="1">
      <alignment horizontal="left" vertical="top" wrapText="1"/>
    </xf>
    <xf numFmtId="0" fontId="1" fillId="0" borderId="0" xfId="5"/>
    <xf numFmtId="44" fontId="1" fillId="0" borderId="0" xfId="5" applyNumberFormat="1"/>
    <xf numFmtId="0" fontId="1" fillId="0" borderId="0" xfId="5" applyAlignment="1">
      <alignment vertical="center"/>
    </xf>
    <xf numFmtId="44" fontId="0" fillId="0" borderId="0" xfId="6" applyNumberFormat="1" applyFont="1"/>
    <xf numFmtId="10" fontId="0" fillId="0" borderId="0" xfId="7" applyNumberFormat="1" applyFont="1"/>
    <xf numFmtId="164" fontId="1" fillId="0" borderId="0" xfId="5" applyNumberFormat="1"/>
    <xf numFmtId="15" fontId="0" fillId="0" borderId="0" xfId="0" applyNumberFormat="1"/>
    <xf numFmtId="9" fontId="0" fillId="0" borderId="0" xfId="4" applyFont="1" applyAlignment="1">
      <alignment wrapText="1"/>
    </xf>
    <xf numFmtId="0" fontId="0" fillId="0" borderId="1" xfId="0" applyBorder="1" applyAlignment="1">
      <alignment horizontal="right"/>
    </xf>
    <xf numFmtId="8" fontId="0" fillId="0" borderId="1" xfId="0" applyNumberFormat="1" applyBorder="1"/>
    <xf numFmtId="9" fontId="0" fillId="0" borderId="1" xfId="4" applyFont="1" applyBorder="1"/>
    <xf numFmtId="164" fontId="2" fillId="0" borderId="0" xfId="1" applyNumberFormat="1" applyFont="1"/>
    <xf numFmtId="164" fontId="4" fillId="0" borderId="0" xfId="1" applyNumberFormat="1" applyFont="1"/>
    <xf numFmtId="164" fontId="4" fillId="2" borderId="0" xfId="1" applyNumberFormat="1" applyFont="1" applyFill="1"/>
    <xf numFmtId="164" fontId="18" fillId="0" borderId="6" xfId="1" applyNumberFormat="1" applyFont="1" applyBorder="1"/>
    <xf numFmtId="164" fontId="3" fillId="0" borderId="0" xfId="1" applyNumberFormat="1" applyFont="1" applyAlignment="1">
      <alignment horizontal="center"/>
    </xf>
    <xf numFmtId="164" fontId="12" fillId="0" borderId="0" xfId="1" applyNumberFormat="1" applyFont="1" applyAlignment="1">
      <alignment horizontal="center" readingOrder="1"/>
    </xf>
    <xf numFmtId="164" fontId="7" fillId="0" borderId="0" xfId="1" applyNumberFormat="1" applyFont="1" applyAlignment="1">
      <alignment horizontal="center" wrapText="1"/>
    </xf>
    <xf numFmtId="164" fontId="11" fillId="0" borderId="0" xfId="1" applyNumberFormat="1" applyFont="1" applyBorder="1" applyAlignment="1">
      <alignment horizontal="center" wrapText="1"/>
    </xf>
    <xf numFmtId="164" fontId="11" fillId="0" borderId="0" xfId="1" applyNumberFormat="1" applyFont="1" applyAlignment="1">
      <alignment horizontal="center" wrapText="1" readingOrder="1"/>
    </xf>
    <xf numFmtId="164" fontId="11" fillId="0" borderId="0" xfId="1" applyNumberFormat="1" applyFont="1" applyAlignment="1">
      <alignment horizontal="center" wrapText="1"/>
    </xf>
    <xf numFmtId="164" fontId="2" fillId="0" borderId="0" xfId="1" applyNumberFormat="1" applyFont="1" applyFill="1"/>
    <xf numFmtId="164" fontId="15" fillId="0" borderId="0" xfId="1" applyNumberFormat="1" applyFont="1"/>
    <xf numFmtId="164" fontId="0" fillId="0" borderId="0" xfId="1" applyNumberFormat="1" applyFont="1" applyFill="1"/>
    <xf numFmtId="164" fontId="2" fillId="0" borderId="0" xfId="1" quotePrefix="1" applyNumberFormat="1" applyFont="1" applyFill="1" applyAlignment="1"/>
    <xf numFmtId="164" fontId="4" fillId="2" borderId="0" xfId="1" applyNumberFormat="1" applyFont="1" applyFill="1" applyBorder="1"/>
    <xf numFmtId="164" fontId="4" fillId="0" borderId="0" xfId="1" applyNumberFormat="1" applyFont="1" applyAlignment="1">
      <alignment horizontal="center"/>
    </xf>
    <xf numFmtId="165" fontId="0" fillId="0" borderId="0" xfId="4" applyNumberFormat="1" applyFont="1"/>
    <xf numFmtId="164" fontId="0" fillId="0" borderId="0" xfId="1" applyNumberFormat="1" applyFont="1" applyBorder="1"/>
    <xf numFmtId="0" fontId="0" fillId="0" borderId="0" xfId="0" applyAlignment="1">
      <alignment horizontal="left" wrapText="1"/>
    </xf>
    <xf numFmtId="0" fontId="0" fillId="0" borderId="1" xfId="0" applyFill="1" applyBorder="1"/>
    <xf numFmtId="0" fontId="9" fillId="0" borderId="0" xfId="0" applyFont="1" applyAlignment="1">
      <alignment horizontal="center"/>
    </xf>
    <xf numFmtId="0" fontId="0" fillId="0" borderId="0" xfId="0" applyAlignment="1">
      <alignment horizontal="left"/>
    </xf>
    <xf numFmtId="0" fontId="2" fillId="0" borderId="0" xfId="0" applyFont="1" applyAlignment="1">
      <alignment horizontal="left"/>
    </xf>
    <xf numFmtId="0" fontId="12" fillId="0" borderId="2" xfId="0" applyFont="1" applyBorder="1" applyAlignment="1">
      <alignment horizontal="right" wrapText="1"/>
    </xf>
    <xf numFmtId="0" fontId="12" fillId="0" borderId="3" xfId="0" applyFont="1" applyBorder="1" applyAlignment="1">
      <alignment horizontal="right" wrapText="1"/>
    </xf>
    <xf numFmtId="0" fontId="18" fillId="0" borderId="6" xfId="0" applyFont="1" applyBorder="1" applyAlignment="1">
      <alignment horizontal="left"/>
    </xf>
    <xf numFmtId="0" fontId="0" fillId="0" borderId="1" xfId="0" applyBorder="1" applyAlignment="1">
      <alignment horizontal="left"/>
    </xf>
    <xf numFmtId="0" fontId="0" fillId="0" borderId="0" xfId="0" applyAlignment="1">
      <alignment horizontal="left" wrapText="1"/>
    </xf>
    <xf numFmtId="0" fontId="14" fillId="0" borderId="0" xfId="0" applyFont="1" applyAlignment="1">
      <alignment vertical="top" wrapText="1"/>
    </xf>
    <xf numFmtId="0" fontId="4" fillId="0" borderId="0" xfId="0" applyFont="1" applyAlignment="1">
      <alignment horizontal="center"/>
    </xf>
    <xf numFmtId="0" fontId="2" fillId="0" borderId="0" xfId="0" applyFont="1" applyAlignment="1">
      <alignment horizontal="center"/>
    </xf>
    <xf numFmtId="0" fontId="5" fillId="0" borderId="0" xfId="0" applyFont="1" applyAlignment="1">
      <alignment horizontal="center"/>
    </xf>
    <xf numFmtId="0" fontId="14" fillId="0" borderId="0" xfId="0" applyFont="1" applyBorder="1" applyAlignment="1">
      <alignment vertical="top" wrapText="1"/>
    </xf>
    <xf numFmtId="0" fontId="14" fillId="0" borderId="0" xfId="0" applyFont="1" applyAlignment="1">
      <alignment horizontal="left" vertical="top" wrapText="1"/>
    </xf>
    <xf numFmtId="0" fontId="2" fillId="0" borderId="7" xfId="0" applyFont="1" applyBorder="1" applyAlignment="1">
      <alignment horizontal="center"/>
    </xf>
    <xf numFmtId="0" fontId="0" fillId="0" borderId="0" xfId="0" applyAlignment="1">
      <alignment horizontal="center"/>
    </xf>
    <xf numFmtId="43" fontId="0" fillId="0" borderId="0" xfId="3" applyFont="1" applyAlignment="1">
      <alignment horizontal="right"/>
    </xf>
    <xf numFmtId="0" fontId="13" fillId="0" borderId="6" xfId="0" applyFont="1" applyBorder="1" applyAlignment="1">
      <alignment horizontal="left"/>
    </xf>
    <xf numFmtId="0" fontId="13" fillId="0" borderId="0" xfId="0" applyFont="1" applyAlignment="1">
      <alignment horizontal="left"/>
    </xf>
  </cellXfs>
  <cellStyles count="8">
    <cellStyle name="Comma" xfId="3" builtinId="3"/>
    <cellStyle name="Comma 2" xfId="6"/>
    <cellStyle name="Currency" xfId="1" builtinId="4"/>
    <cellStyle name="Normal" xfId="0" builtinId="0"/>
    <cellStyle name="Normal 2" xfId="2"/>
    <cellStyle name="Normal 3" xfId="5"/>
    <cellStyle name="Percent" xfId="4" builtinId="5"/>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Personnel Expense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'Exhibit A, Budget Totals'!$F$71:$J$71</c:f>
              <c:strCache>
                <c:ptCount val="5"/>
                <c:pt idx="0">
                  <c:v> Actual 2012 </c:v>
                </c:pt>
                <c:pt idx="1">
                  <c:v> Actual 2013 </c:v>
                </c:pt>
                <c:pt idx="2">
                  <c:v> Approved 2014 </c:v>
                </c:pt>
                <c:pt idx="3">
                  <c:v> Projected FY 2014 </c:v>
                </c:pt>
                <c:pt idx="4">
                  <c:v> Proposed FY 2015 </c:v>
                </c:pt>
              </c:strCache>
            </c:strRef>
          </c:cat>
          <c:val>
            <c:numRef>
              <c:f>'Exhibit A, Budget Totals'!$F$80:$J$80</c:f>
              <c:numCache>
                <c:formatCode>_("$"* #,##0_);_("$"* \(#,##0\);_("$"* "-"??_);_(@_)</c:formatCode>
                <c:ptCount val="5"/>
                <c:pt idx="0">
                  <c:v>377319</c:v>
                </c:pt>
                <c:pt idx="1">
                  <c:v>361667</c:v>
                </c:pt>
                <c:pt idx="2">
                  <c:v>391680</c:v>
                </c:pt>
                <c:pt idx="3">
                  <c:v>318041.34666666668</c:v>
                </c:pt>
                <c:pt idx="4">
                  <c:v>370171.56302364549</c:v>
                </c:pt>
              </c:numCache>
            </c:numRef>
          </c:val>
        </c:ser>
        <c:dLbls>
          <c:dLblPos val="inEnd"/>
          <c:showLegendKey val="0"/>
          <c:showVal val="1"/>
          <c:showCatName val="0"/>
          <c:showSerName val="0"/>
          <c:showPercent val="0"/>
          <c:showBubbleSize val="0"/>
        </c:dLbls>
        <c:gapWidth val="41"/>
        <c:axId val="306873992"/>
        <c:axId val="306874384"/>
      </c:barChart>
      <c:catAx>
        <c:axId val="30687399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306874384"/>
        <c:crosses val="autoZero"/>
        <c:auto val="1"/>
        <c:lblAlgn val="ctr"/>
        <c:lblOffset val="100"/>
        <c:noMultiLvlLbl val="0"/>
      </c:catAx>
      <c:valAx>
        <c:axId val="306874384"/>
        <c:scaling>
          <c:orientation val="minMax"/>
        </c:scaling>
        <c:delete val="1"/>
        <c:axPos val="l"/>
        <c:numFmt formatCode="_(&quot;$&quot;* #,##0_);_(&quot;$&quot;* \(#,##0\);_(&quot;$&quot;* &quot;-&quot;??_);_(@_)" sourceLinked="1"/>
        <c:majorTickMark val="none"/>
        <c:minorTickMark val="none"/>
        <c:tickLblPos val="nextTo"/>
        <c:crossAx val="306873992"/>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Total Expense Budgets</a:t>
            </a:r>
          </a:p>
        </c:rich>
      </c:tx>
      <c:layout/>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'Exhibit A, Budget Totals'!$F$86:$J$86</c:f>
              <c:strCache>
                <c:ptCount val="5"/>
                <c:pt idx="0">
                  <c:v> Actual 2012 </c:v>
                </c:pt>
                <c:pt idx="1">
                  <c:v> Actual 2013 </c:v>
                </c:pt>
                <c:pt idx="2">
                  <c:v> Approved 2014 </c:v>
                </c:pt>
                <c:pt idx="3">
                  <c:v> Projected FY 2014 </c:v>
                </c:pt>
                <c:pt idx="4">
                  <c:v> Proposed FY 2015 </c:v>
                </c:pt>
              </c:strCache>
            </c:strRef>
          </c:cat>
          <c:val>
            <c:numRef>
              <c:f>'Exhibit A, Budget Totals'!$F$95:$J$95</c:f>
              <c:numCache>
                <c:formatCode>_("$"* #,##0_);_("$"* \(#,##0\);_("$"* "-"??_);_(@_)</c:formatCode>
                <c:ptCount val="5"/>
                <c:pt idx="0">
                  <c:v>525766</c:v>
                </c:pt>
                <c:pt idx="1">
                  <c:v>544498</c:v>
                </c:pt>
                <c:pt idx="2">
                  <c:v>580780</c:v>
                </c:pt>
                <c:pt idx="3">
                  <c:v>508357.34666666668</c:v>
                </c:pt>
                <c:pt idx="4">
                  <c:v>589725.56302364543</c:v>
                </c:pt>
              </c:numCache>
            </c:numRef>
          </c:val>
        </c:ser>
        <c:dLbls>
          <c:dLblPos val="inEnd"/>
          <c:showLegendKey val="0"/>
          <c:showVal val="1"/>
          <c:showCatName val="0"/>
          <c:showSerName val="0"/>
          <c:showPercent val="0"/>
          <c:showBubbleSize val="0"/>
        </c:dLbls>
        <c:gapWidth val="41"/>
        <c:axId val="306075272"/>
        <c:axId val="306073704"/>
      </c:barChart>
      <c:catAx>
        <c:axId val="30607527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306073704"/>
        <c:crosses val="autoZero"/>
        <c:auto val="1"/>
        <c:lblAlgn val="ctr"/>
        <c:lblOffset val="100"/>
        <c:noMultiLvlLbl val="0"/>
      </c:catAx>
      <c:valAx>
        <c:axId val="306073704"/>
        <c:scaling>
          <c:orientation val="minMax"/>
        </c:scaling>
        <c:delete val="1"/>
        <c:axPos val="l"/>
        <c:numFmt formatCode="_(&quot;$&quot;* #,##0_);_(&quot;$&quot;* \(#,##0\);_(&quot;$&quot;* &quot;-&quot;??_);_(@_)" sourceLinked="1"/>
        <c:majorTickMark val="none"/>
        <c:minorTickMark val="none"/>
        <c:tickLblPos val="nextTo"/>
        <c:crossAx val="306075272"/>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Operating Expense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'Exhibit A, Budget Totals'!$F$23:$J$23</c:f>
              <c:strCache>
                <c:ptCount val="5"/>
                <c:pt idx="0">
                  <c:v>Actual 2012</c:v>
                </c:pt>
                <c:pt idx="1">
                  <c:v>Actual 2013</c:v>
                </c:pt>
                <c:pt idx="2">
                  <c:v>Approved 2014</c:v>
                </c:pt>
                <c:pt idx="3">
                  <c:v>Projected FY 2014</c:v>
                </c:pt>
                <c:pt idx="4">
                  <c:v>Proposed FY 2015</c:v>
                </c:pt>
              </c:strCache>
            </c:strRef>
          </c:cat>
          <c:val>
            <c:numRef>
              <c:f>'Exhibit A, Budget Totals'!$F$55:$J$55</c:f>
              <c:numCache>
                <c:formatCode>_("$"* #,##0_);_("$"* \(#,##0\);_("$"* "-"??_);_(@_)</c:formatCode>
                <c:ptCount val="5"/>
                <c:pt idx="0">
                  <c:v>141547</c:v>
                </c:pt>
                <c:pt idx="1">
                  <c:v>169596</c:v>
                </c:pt>
                <c:pt idx="2">
                  <c:v>189100</c:v>
                </c:pt>
                <c:pt idx="3">
                  <c:v>190316</c:v>
                </c:pt>
                <c:pt idx="4">
                  <c:v>219554</c:v>
                </c:pt>
              </c:numCache>
            </c:numRef>
          </c:val>
        </c:ser>
        <c:dLbls>
          <c:dLblPos val="inEnd"/>
          <c:showLegendKey val="0"/>
          <c:showVal val="1"/>
          <c:showCatName val="0"/>
          <c:showSerName val="0"/>
          <c:showPercent val="0"/>
          <c:showBubbleSize val="0"/>
        </c:dLbls>
        <c:gapWidth val="41"/>
        <c:axId val="306079584"/>
        <c:axId val="306079192"/>
      </c:barChart>
      <c:catAx>
        <c:axId val="30607958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306079192"/>
        <c:crosses val="autoZero"/>
        <c:auto val="1"/>
        <c:lblAlgn val="ctr"/>
        <c:lblOffset val="100"/>
        <c:noMultiLvlLbl val="0"/>
      </c:catAx>
      <c:valAx>
        <c:axId val="306079192"/>
        <c:scaling>
          <c:orientation val="minMax"/>
        </c:scaling>
        <c:delete val="1"/>
        <c:axPos val="l"/>
        <c:numFmt formatCode="_(&quot;$&quot;* #,##0_);_(&quot;$&quot;* \(#,##0\);_(&quot;$&quot;* &quot;-&quot;??_);_(@_)" sourceLinked="1"/>
        <c:majorTickMark val="none"/>
        <c:minorTickMark val="none"/>
        <c:tickLblPos val="nextTo"/>
        <c:crossAx val="306079584"/>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Capital Outlay</a:t>
            </a:r>
          </a:p>
        </c:rich>
      </c:tx>
      <c:layout/>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'Exhibit A, Budget Totals'!$F$86:$J$86</c:f>
              <c:strCache>
                <c:ptCount val="5"/>
                <c:pt idx="0">
                  <c:v> Actual 2012 </c:v>
                </c:pt>
                <c:pt idx="1">
                  <c:v> Actual 2013 </c:v>
                </c:pt>
                <c:pt idx="2">
                  <c:v> Approved 2014 </c:v>
                </c:pt>
                <c:pt idx="3">
                  <c:v> Projected FY 2014 </c:v>
                </c:pt>
                <c:pt idx="4">
                  <c:v> Proposed FY 2015 </c:v>
                </c:pt>
              </c:strCache>
            </c:strRef>
          </c:cat>
          <c:val>
            <c:numRef>
              <c:f>'Exhibit A, Budget Totals'!$F$92:$J$92</c:f>
              <c:numCache>
                <c:formatCode>_("$"* #,##0_);_("$"* \(#,##0\);_("$"* "-"??_);_(@_)</c:formatCode>
                <c:ptCount val="5"/>
                <c:pt idx="0">
                  <c:v>6900</c:v>
                </c:pt>
                <c:pt idx="1">
                  <c:v>13235</c:v>
                </c:pt>
                <c:pt idx="2">
                  <c:v>0</c:v>
                </c:pt>
                <c:pt idx="3">
                  <c:v>0</c:v>
                </c:pt>
                <c:pt idx="4">
                  <c:v>0</c:v>
                </c:pt>
              </c:numCache>
            </c:numRef>
          </c:val>
        </c:ser>
        <c:dLbls>
          <c:dLblPos val="inEnd"/>
          <c:showLegendKey val="0"/>
          <c:showVal val="1"/>
          <c:showCatName val="0"/>
          <c:showSerName val="0"/>
          <c:showPercent val="0"/>
          <c:showBubbleSize val="0"/>
        </c:dLbls>
        <c:gapWidth val="41"/>
        <c:axId val="306072528"/>
        <c:axId val="306076840"/>
      </c:barChart>
      <c:catAx>
        <c:axId val="30607252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306076840"/>
        <c:crosses val="autoZero"/>
        <c:auto val="1"/>
        <c:lblAlgn val="ctr"/>
        <c:lblOffset val="100"/>
        <c:noMultiLvlLbl val="0"/>
      </c:catAx>
      <c:valAx>
        <c:axId val="306076840"/>
        <c:scaling>
          <c:orientation val="minMax"/>
        </c:scaling>
        <c:delete val="1"/>
        <c:axPos val="l"/>
        <c:numFmt formatCode="_(&quot;$&quot;* #,##0_);_(&quot;$&quot;* \(#,##0\);_(&quot;$&quot;* &quot;-&quot;??_);_(@_)" sourceLinked="1"/>
        <c:majorTickMark val="none"/>
        <c:minorTickMark val="none"/>
        <c:tickLblPos val="nextTo"/>
        <c:crossAx val="306072528"/>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80</xdr:row>
      <xdr:rowOff>47626</xdr:rowOff>
    </xdr:from>
    <xdr:to>
      <xdr:col>7</xdr:col>
      <xdr:colOff>419100</xdr:colOff>
      <xdr:row>85</xdr:row>
      <xdr:rowOff>19051</xdr:rowOff>
    </xdr:to>
    <xdr:sp macro="" textlink="">
      <xdr:nvSpPr>
        <xdr:cNvPr id="3" name="Text Box 9"/>
        <xdr:cNvSpPr txBox="1">
          <a:spLocks noChangeArrowheads="1"/>
        </xdr:cNvSpPr>
      </xdr:nvSpPr>
      <xdr:spPr bwMode="auto">
        <a:xfrm>
          <a:off x="19050" y="11268076"/>
          <a:ext cx="5705475" cy="781050"/>
        </a:xfrm>
        <a:prstGeom prst="rect">
          <a:avLst/>
        </a:prstGeom>
        <a:noFill/>
        <a:ln>
          <a:noFill/>
        </a:ln>
        <a:extLst/>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   Annual employee merit increases (step raises) are reflected. </a:t>
          </a:r>
        </a:p>
        <a:p>
          <a:pPr algn="l" rtl="0">
            <a:defRPr sz="1000"/>
          </a:pPr>
          <a:r>
            <a:rPr lang="en-US" sz="800" b="0" i="0" u="none" strike="noStrike" baseline="0">
              <a:solidFill>
                <a:srgbClr val="000000"/>
              </a:solidFill>
              <a:latin typeface="Arial"/>
              <a:cs typeface="Arial"/>
            </a:rPr>
            <a:t>*   Cost of living increases are reflected.</a:t>
          </a:r>
        </a:p>
        <a:p>
          <a:pPr algn="l" rtl="0">
            <a:defRPr sz="1000"/>
          </a:pPr>
          <a:r>
            <a:rPr lang="en-US" sz="800" b="0" i="0" u="none" strike="noStrike" baseline="0">
              <a:solidFill>
                <a:srgbClr val="000000"/>
              </a:solidFill>
              <a:latin typeface="Arial"/>
              <a:cs typeface="Arial"/>
            </a:rPr>
            <a:t>*   Includes IRA contribution  for  Maintenance Manager ($3500) &amp;  Maintenance Supervisor ($3000) - adjusted FY 2014.</a:t>
          </a:r>
        </a:p>
        <a:p>
          <a:pPr algn="l" rtl="0">
            <a:defRPr sz="1000"/>
          </a:pPr>
          <a:r>
            <a:rPr lang="en-US" sz="800" b="0" i="0" u="none" strike="noStrike" baseline="0">
              <a:solidFill>
                <a:srgbClr val="000000"/>
              </a:solidFill>
              <a:latin typeface="Arial"/>
              <a:cs typeface="Arial"/>
            </a:rPr>
            <a:t>*   Directors, General Manager &amp; CSD Clerk/Treasurer do not receive Health Insurance Benefits.</a:t>
          </a:r>
        </a:p>
        <a:p>
          <a:pPr algn="l" rtl="0">
            <a:defRPr sz="1000"/>
          </a:pPr>
          <a:endParaRPr lang="en-US" sz="800" b="0" i="0" u="none" strike="noStrike" baseline="0">
            <a:solidFill>
              <a:srgbClr val="000000"/>
            </a:solidFill>
            <a:latin typeface="Arial"/>
            <a:cs typeface="Arial"/>
          </a:endParaRPr>
        </a:p>
        <a:p>
          <a:pPr algn="l" rtl="0">
            <a:defRPr sz="1000"/>
          </a:pPr>
          <a:endParaRPr lang="en-US" sz="800" b="0" i="0" u="none" strike="noStrike" baseline="0">
            <a:solidFill>
              <a:srgbClr val="000000"/>
            </a:solidFill>
            <a:latin typeface="Arial"/>
            <a:cs typeface="Arial"/>
          </a:endParaRPr>
        </a:p>
      </xdr:txBody>
    </xdr:sp>
    <xdr:clientData/>
  </xdr:twoCellAnchor>
  <xdr:twoCellAnchor>
    <xdr:from>
      <xdr:col>0</xdr:col>
      <xdr:colOff>38100</xdr:colOff>
      <xdr:row>55</xdr:row>
      <xdr:rowOff>123825</xdr:rowOff>
    </xdr:from>
    <xdr:to>
      <xdr:col>10</xdr:col>
      <xdr:colOff>38100</xdr:colOff>
      <xdr:row>59</xdr:row>
      <xdr:rowOff>0</xdr:rowOff>
    </xdr:to>
    <xdr:sp macro="" textlink="">
      <xdr:nvSpPr>
        <xdr:cNvPr id="4" name="TextBox 3"/>
        <xdr:cNvSpPr txBox="1"/>
      </xdr:nvSpPr>
      <xdr:spPr>
        <a:xfrm>
          <a:off x="38100" y="7648575"/>
          <a:ext cx="5905500"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Arial" pitchFamily="34" charset="0"/>
              <a:cs typeface="Arial" pitchFamily="34" charset="0"/>
            </a:rPr>
            <a:t>(1) County Fees/LAFCO</a:t>
          </a:r>
          <a:r>
            <a:rPr lang="en-US" sz="800" baseline="0">
              <a:latin typeface="Arial" pitchFamily="34" charset="0"/>
              <a:cs typeface="Arial" pitchFamily="34" charset="0"/>
            </a:rPr>
            <a:t> deducted directly from Assessments.</a:t>
          </a:r>
        </a:p>
        <a:p>
          <a:r>
            <a:rPr lang="en-US" sz="800" baseline="0">
              <a:latin typeface="Arial" pitchFamily="34" charset="0"/>
              <a:cs typeface="Arial" pitchFamily="34" charset="0"/>
            </a:rPr>
            <a:t>(2) Reimbursements paid or due to be paid by Castle &amp; Cooke.</a:t>
          </a:r>
        </a:p>
        <a:p>
          <a:r>
            <a:rPr lang="en-US" sz="800" baseline="0">
              <a:latin typeface="Arial" pitchFamily="34" charset="0"/>
              <a:cs typeface="Arial" pitchFamily="34" charset="0"/>
            </a:rPr>
            <a:t>(3) Beginning balance includes Misc. Income (Reimbursements/Fees &amp; Interest).</a:t>
          </a:r>
          <a:endParaRPr lang="en-US" sz="80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138112</xdr:rowOff>
    </xdr:from>
    <xdr:to>
      <xdr:col>7</xdr:col>
      <xdr:colOff>304800</xdr:colOff>
      <xdr:row>34</xdr:row>
      <xdr:rowOff>128587</xdr:rowOff>
    </xdr:to>
    <xdr:graphicFrame macro="">
      <xdr:nvGraphicFramePr>
        <xdr:cNvPr id="2"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xdr:colOff>
      <xdr:row>37</xdr:row>
      <xdr:rowOff>14287</xdr:rowOff>
    </xdr:from>
    <xdr:to>
      <xdr:col>7</xdr:col>
      <xdr:colOff>319087</xdr:colOff>
      <xdr:row>54</xdr:row>
      <xdr:rowOff>4762</xdr:rowOff>
    </xdr:to>
    <xdr:graphicFrame macro="">
      <xdr:nvGraphicFramePr>
        <xdr:cNvPr id="3"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4762</xdr:rowOff>
    </xdr:from>
    <xdr:to>
      <xdr:col>7</xdr:col>
      <xdr:colOff>304800</xdr:colOff>
      <xdr:row>16</xdr:row>
      <xdr:rowOff>157162</xdr:rowOff>
    </xdr:to>
    <xdr:graphicFrame macro="">
      <xdr:nvGraphicFramePr>
        <xdr:cNvPr id="4"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42862</xdr:colOff>
      <xdr:row>55</xdr:row>
      <xdr:rowOff>61912</xdr:rowOff>
    </xdr:from>
    <xdr:to>
      <xdr:col>7</xdr:col>
      <xdr:colOff>347662</xdr:colOff>
      <xdr:row>72</xdr:row>
      <xdr:rowOff>52387</xdr:rowOff>
    </xdr:to>
    <xdr:graphicFrame macro="">
      <xdr:nvGraphicFramePr>
        <xdr:cNvPr id="6"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yroll%20Projections%202015,%20added%20employe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5%20Preliminary%20Budget%20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ayroll Estimates"/>
      <sheetName val="Health Insurance"/>
      <sheetName val="Workers' Compensation"/>
      <sheetName val="Days-Hours Paid"/>
    </sheetNames>
    <sheetDataSet>
      <sheetData sheetId="0">
        <row r="7">
          <cell r="K7">
            <v>81006.537624521065</v>
          </cell>
        </row>
        <row r="8">
          <cell r="K8">
            <v>48228.15224958949</v>
          </cell>
        </row>
        <row r="9">
          <cell r="K9">
            <v>29607.84</v>
          </cell>
        </row>
        <row r="10">
          <cell r="K10">
            <v>25962.240000000002</v>
          </cell>
        </row>
        <row r="11">
          <cell r="K11">
            <v>24685.440000000002</v>
          </cell>
        </row>
        <row r="12">
          <cell r="K12">
            <v>23769.839999999997</v>
          </cell>
        </row>
        <row r="13">
          <cell r="K13">
            <v>6750</v>
          </cell>
        </row>
        <row r="14">
          <cell r="K14">
            <v>5472</v>
          </cell>
        </row>
      </sheetData>
      <sheetData sheetId="1">
        <row r="7">
          <cell r="K7">
            <v>9935.3100000000013</v>
          </cell>
        </row>
        <row r="8">
          <cell r="K8">
            <v>9935.3100000000013</v>
          </cell>
        </row>
        <row r="9">
          <cell r="K9">
            <v>9935.3100000000013</v>
          </cell>
        </row>
        <row r="10">
          <cell r="K10">
            <v>9935.3100000000013</v>
          </cell>
        </row>
        <row r="11">
          <cell r="K11">
            <v>9935.3100000000013</v>
          </cell>
        </row>
        <row r="12">
          <cell r="K12">
            <v>9935.3100000000013</v>
          </cell>
        </row>
        <row r="13">
          <cell r="K13">
            <v>0</v>
          </cell>
        </row>
      </sheetData>
      <sheetData sheetId="2">
        <row r="35">
          <cell r="F35">
            <v>15000</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A"/>
      <sheetName val="Charts"/>
      <sheetName val="Exhibit B"/>
      <sheetName val="Exhibit C"/>
      <sheetName val="(1) Payroll Estimates"/>
      <sheetName val="Health Insurance"/>
      <sheetName val="Workers' Compensation"/>
      <sheetName val="Sheet4"/>
    </sheetNames>
    <sheetDataSet>
      <sheetData sheetId="0"/>
      <sheetData sheetId="1"/>
      <sheetData sheetId="2">
        <row r="19">
          <cell r="J19">
            <v>79490.25</v>
          </cell>
        </row>
        <row r="20">
          <cell r="J20">
            <v>46292.526000000005</v>
          </cell>
        </row>
        <row r="22">
          <cell r="H22">
            <v>12.442400000000001</v>
          </cell>
          <cell r="I22">
            <v>13.523900000000001</v>
          </cell>
        </row>
        <row r="24">
          <cell r="G24">
            <v>23.175000000000001</v>
          </cell>
        </row>
        <row r="25">
          <cell r="G25">
            <v>12.36</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9"/>
  <sheetViews>
    <sheetView tabSelected="1" view="pageLayout" zoomScaleNormal="100" workbookViewId="0">
      <selection activeCell="J21" sqref="J21"/>
    </sheetView>
  </sheetViews>
  <sheetFormatPr defaultRowHeight="12.75" x14ac:dyDescent="0.2"/>
  <cols>
    <col min="1" max="1" width="3.7109375" customWidth="1"/>
    <col min="2" max="2" width="17.85546875" customWidth="1"/>
    <col min="4" max="4" width="17.85546875" customWidth="1"/>
    <col min="5" max="5" width="11.85546875" customWidth="1"/>
    <col min="6" max="7" width="9.5703125" customWidth="1"/>
    <col min="8" max="8" width="10.140625" customWidth="1"/>
    <col min="9" max="9" width="12.28515625" bestFit="1" customWidth="1"/>
    <col min="10" max="10" width="10.140625" customWidth="1"/>
    <col min="11" max="11" width="3.7109375" hidden="1" customWidth="1"/>
    <col min="12" max="13" width="9.140625" hidden="1" customWidth="1"/>
    <col min="14" max="14" width="16.85546875" hidden="1" customWidth="1"/>
    <col min="15" max="15" width="31.85546875" hidden="1" customWidth="1"/>
    <col min="16" max="16" width="13.5703125" hidden="1" customWidth="1"/>
    <col min="17" max="17" width="12" hidden="1" customWidth="1"/>
    <col min="18" max="18" width="10.42578125" hidden="1" customWidth="1"/>
    <col min="19" max="19" width="13.42578125" hidden="1" customWidth="1"/>
    <col min="20" max="20" width="10.28515625" hidden="1" customWidth="1"/>
    <col min="21" max="21" width="11.42578125" hidden="1" customWidth="1"/>
    <col min="22" max="22" width="12.5703125" hidden="1" customWidth="1"/>
    <col min="23" max="23" width="0" hidden="1" customWidth="1"/>
  </cols>
  <sheetData>
    <row r="1" spans="1:20" x14ac:dyDescent="0.2">
      <c r="A1" s="153" t="s">
        <v>65</v>
      </c>
      <c r="B1" s="153"/>
      <c r="C1" s="153"/>
      <c r="D1" s="153"/>
      <c r="E1" s="153"/>
      <c r="F1" s="153"/>
      <c r="G1" s="153"/>
      <c r="H1" s="153"/>
      <c r="I1" s="153"/>
      <c r="J1" s="153"/>
      <c r="K1" s="153"/>
    </row>
    <row r="2" spans="1:20" x14ac:dyDescent="0.2">
      <c r="A2" s="153" t="s">
        <v>320</v>
      </c>
      <c r="B2" s="153"/>
      <c r="C2" s="153"/>
      <c r="D2" s="153"/>
      <c r="E2" s="153"/>
      <c r="F2" s="153"/>
      <c r="G2" s="153"/>
      <c r="H2" s="153"/>
      <c r="I2" s="153"/>
      <c r="J2" s="153"/>
      <c r="K2" s="153"/>
    </row>
    <row r="3" spans="1:20" x14ac:dyDescent="0.2">
      <c r="J3" s="3"/>
    </row>
    <row r="4" spans="1:20" ht="10.5" customHeight="1" x14ac:dyDescent="0.2">
      <c r="B4" s="23" t="s">
        <v>314</v>
      </c>
      <c r="F4" s="34">
        <f>+J55+J80+J92</f>
        <v>589725.56302364543</v>
      </c>
      <c r="H4" s="111"/>
      <c r="N4" s="52"/>
    </row>
    <row r="5" spans="1:20" ht="10.5" customHeight="1" x14ac:dyDescent="0.2">
      <c r="B5" s="23" t="s">
        <v>157</v>
      </c>
      <c r="O5" s="3" t="s">
        <v>158</v>
      </c>
      <c r="P5" s="3"/>
    </row>
    <row r="6" spans="1:20" ht="10.5" customHeight="1" x14ac:dyDescent="0.2">
      <c r="B6" s="24" t="s">
        <v>128</v>
      </c>
      <c r="E6" s="25">
        <f>ROUND(F4/12,0)</f>
        <v>49144</v>
      </c>
      <c r="O6" s="3" t="s">
        <v>163</v>
      </c>
      <c r="P6" s="3">
        <v>304035</v>
      </c>
    </row>
    <row r="7" spans="1:20" ht="10.5" customHeight="1" x14ac:dyDescent="0.2">
      <c r="B7" s="24" t="s">
        <v>129</v>
      </c>
      <c r="E7" s="26">
        <f>+H13-F4-E6</f>
        <v>309324.09030968789</v>
      </c>
      <c r="N7" s="1"/>
      <c r="O7" s="3"/>
      <c r="P7" s="3"/>
    </row>
    <row r="8" spans="1:20" ht="10.5" customHeight="1" x14ac:dyDescent="0.2">
      <c r="B8" s="24" t="s">
        <v>133</v>
      </c>
      <c r="E8" s="66"/>
      <c r="F8" s="67">
        <f>+E6+E7</f>
        <v>358468.09030968789</v>
      </c>
      <c r="N8" s="1"/>
      <c r="O8" s="3"/>
      <c r="P8" s="3"/>
      <c r="Q8" s="3"/>
    </row>
    <row r="9" spans="1:20" ht="10.5" customHeight="1" x14ac:dyDescent="0.2">
      <c r="B9" s="24"/>
      <c r="E9" s="66"/>
      <c r="N9" s="1"/>
      <c r="O9" s="3"/>
      <c r="P9" s="3"/>
    </row>
    <row r="10" spans="1:20" ht="10.5" customHeight="1" thickBot="1" x14ac:dyDescent="0.25">
      <c r="B10" s="32"/>
      <c r="C10" s="32"/>
      <c r="D10" s="32"/>
      <c r="E10" s="32"/>
      <c r="F10" s="32"/>
      <c r="G10" s="32"/>
      <c r="H10" s="32"/>
      <c r="P10" s="12"/>
    </row>
    <row r="11" spans="1:20" ht="24" customHeight="1" thickTop="1" x14ac:dyDescent="0.2">
      <c r="B11" s="27" t="s">
        <v>158</v>
      </c>
      <c r="C11" s="36">
        <f>+P11</f>
        <v>304035</v>
      </c>
      <c r="D11" s="15" t="s">
        <v>189</v>
      </c>
      <c r="E11" s="53">
        <f>+P39</f>
        <v>558267</v>
      </c>
      <c r="F11" s="156" t="s">
        <v>159</v>
      </c>
      <c r="G11" s="156"/>
      <c r="H11" s="36">
        <f>+P14</f>
        <v>508357.34666666668</v>
      </c>
      <c r="O11" s="22" t="s">
        <v>164</v>
      </c>
      <c r="P11" s="68">
        <f>SUM(P6:P10)</f>
        <v>304035</v>
      </c>
    </row>
    <row r="12" spans="1:20" ht="6.75" customHeight="1" x14ac:dyDescent="0.2">
      <c r="B12" s="28"/>
      <c r="C12" s="29"/>
      <c r="D12" s="28"/>
      <c r="E12" s="30"/>
      <c r="F12" s="30"/>
      <c r="G12" s="30"/>
      <c r="H12" s="30"/>
    </row>
    <row r="13" spans="1:20" ht="24" customHeight="1" thickBot="1" x14ac:dyDescent="0.25">
      <c r="B13" s="31" t="s">
        <v>160</v>
      </c>
      <c r="C13" s="33">
        <f>+P32</f>
        <v>375918.65333333332</v>
      </c>
      <c r="D13" s="16" t="s">
        <v>161</v>
      </c>
      <c r="E13" s="33">
        <v>572275</v>
      </c>
      <c r="F13" s="157" t="s">
        <v>162</v>
      </c>
      <c r="G13" s="157"/>
      <c r="H13" s="33">
        <f>+C13+E13</f>
        <v>948193.65333333332</v>
      </c>
      <c r="N13" s="54"/>
      <c r="O13" s="38" t="s">
        <v>165</v>
      </c>
      <c r="P13" s="41"/>
      <c r="R13" t="s">
        <v>168</v>
      </c>
    </row>
    <row r="14" spans="1:20" ht="13.5" thickTop="1" x14ac:dyDescent="0.2">
      <c r="O14" s="22" t="s">
        <v>166</v>
      </c>
      <c r="P14" s="39">
        <f>+I55+I80+I92</f>
        <v>508357.34666666668</v>
      </c>
      <c r="R14" t="s">
        <v>121</v>
      </c>
      <c r="S14">
        <v>560</v>
      </c>
    </row>
    <row r="15" spans="1:20" x14ac:dyDescent="0.2">
      <c r="B15" s="113" t="s">
        <v>315</v>
      </c>
      <c r="C15" s="12"/>
      <c r="D15" s="152"/>
      <c r="E15" s="132"/>
      <c r="F15" s="12"/>
      <c r="G15" s="12"/>
      <c r="H15" s="12"/>
      <c r="I15" s="12"/>
      <c r="J15" s="12"/>
      <c r="O15" s="22"/>
      <c r="P15" s="1"/>
      <c r="R15" t="s">
        <v>122</v>
      </c>
      <c r="S15" s="56">
        <v>1021.92</v>
      </c>
    </row>
    <row r="16" spans="1:20" ht="22.5" x14ac:dyDescent="0.2">
      <c r="E16" s="5"/>
      <c r="J16" s="110" t="s">
        <v>301</v>
      </c>
      <c r="O16" s="22" t="s">
        <v>167</v>
      </c>
      <c r="P16" s="69">
        <f>SUM(P14:P15)</f>
        <v>508357.34666666668</v>
      </c>
      <c r="S16" s="57">
        <f>+S14*S15</f>
        <v>572275.19999999995</v>
      </c>
      <c r="T16">
        <f>+S16*0.01/2</f>
        <v>2861.3759999999997</v>
      </c>
    </row>
    <row r="17" spans="2:19" x14ac:dyDescent="0.2">
      <c r="J17" s="110"/>
      <c r="O17" s="22"/>
      <c r="P17" s="48"/>
      <c r="S17" s="57"/>
    </row>
    <row r="18" spans="2:19" x14ac:dyDescent="0.2">
      <c r="B18" s="154" t="s">
        <v>316</v>
      </c>
      <c r="C18" s="154"/>
      <c r="D18" s="154"/>
      <c r="F18" s="103"/>
      <c r="G18" s="103"/>
      <c r="H18" s="103"/>
      <c r="I18" s="103"/>
      <c r="J18" s="103">
        <f>E13</f>
        <v>572275</v>
      </c>
      <c r="O18" s="22"/>
      <c r="P18" s="48"/>
      <c r="S18" s="57"/>
    </row>
    <row r="19" spans="2:19" x14ac:dyDescent="0.2">
      <c r="B19" s="154" t="s">
        <v>317</v>
      </c>
      <c r="C19" s="154"/>
      <c r="D19" s="154"/>
      <c r="F19" s="103"/>
      <c r="G19" s="103"/>
      <c r="H19" s="103"/>
      <c r="I19" s="103"/>
      <c r="J19" s="103">
        <f>J53</f>
        <v>10000</v>
      </c>
      <c r="O19" s="22"/>
      <c r="P19" s="48"/>
      <c r="S19" s="57"/>
    </row>
    <row r="20" spans="2:19" x14ac:dyDescent="0.2">
      <c r="B20" s="159" t="s">
        <v>319</v>
      </c>
      <c r="C20" s="159"/>
      <c r="D20" s="159"/>
      <c r="F20" s="103"/>
      <c r="G20" s="103"/>
      <c r="H20" s="103"/>
      <c r="I20" s="103"/>
      <c r="J20" s="103">
        <v>8000</v>
      </c>
      <c r="O20" s="22"/>
      <c r="P20" s="48"/>
      <c r="S20" s="57"/>
    </row>
    <row r="21" spans="2:19" ht="13.5" thickBot="1" x14ac:dyDescent="0.25">
      <c r="B21" s="158" t="s">
        <v>318</v>
      </c>
      <c r="C21" s="158"/>
      <c r="D21" s="158"/>
      <c r="E21" s="112"/>
      <c r="F21" s="136"/>
      <c r="G21" s="136"/>
      <c r="H21" s="136"/>
      <c r="I21" s="136"/>
      <c r="J21" s="136">
        <f>SUM(J18:J20)</f>
        <v>590275</v>
      </c>
      <c r="O21" s="22"/>
      <c r="P21" s="48"/>
      <c r="S21" s="57"/>
    </row>
    <row r="22" spans="2:19" ht="13.5" thickTop="1" x14ac:dyDescent="0.2">
      <c r="F22" s="137"/>
      <c r="G22" s="137"/>
      <c r="H22" s="137"/>
      <c r="I22" s="138"/>
      <c r="J22" s="138"/>
      <c r="O22" s="22" t="s">
        <v>184</v>
      </c>
      <c r="P22" s="35">
        <v>-375660</v>
      </c>
    </row>
    <row r="23" spans="2:19" ht="22.5" x14ac:dyDescent="0.2">
      <c r="B23" s="114" t="s">
        <v>30</v>
      </c>
      <c r="F23" s="139" t="s">
        <v>303</v>
      </c>
      <c r="G23" s="139" t="s">
        <v>304</v>
      </c>
      <c r="H23" s="140" t="s">
        <v>302</v>
      </c>
      <c r="I23" s="141" t="s">
        <v>300</v>
      </c>
      <c r="J23" s="142" t="s">
        <v>301</v>
      </c>
      <c r="O23" s="22" t="s">
        <v>95</v>
      </c>
      <c r="P23" s="70">
        <f>SUM(P16:P22)</f>
        <v>132697.34666666668</v>
      </c>
      <c r="R23" t="s">
        <v>151</v>
      </c>
    </row>
    <row r="24" spans="2:19" hidden="1" x14ac:dyDescent="0.2">
      <c r="F24" s="103"/>
      <c r="G24" s="103"/>
      <c r="H24" s="103"/>
      <c r="I24" s="103"/>
      <c r="J24" s="103"/>
      <c r="P24" s="1"/>
      <c r="R24" t="s">
        <v>152</v>
      </c>
      <c r="S24" s="81">
        <f>ROUND(S16*0.55,2)</f>
        <v>314751.35999999999</v>
      </c>
    </row>
    <row r="25" spans="2:19" hidden="1" x14ac:dyDescent="0.2">
      <c r="F25" s="103"/>
      <c r="G25" s="103"/>
      <c r="H25" s="103"/>
      <c r="I25" s="103"/>
      <c r="J25" s="103"/>
      <c r="O25" s="22" t="s">
        <v>185</v>
      </c>
      <c r="P25" s="1"/>
      <c r="R25" t="s">
        <v>153</v>
      </c>
      <c r="S25" s="81">
        <f>ROUND(S16*0.4,2)</f>
        <v>228910.07999999999</v>
      </c>
    </row>
    <row r="26" spans="2:19" x14ac:dyDescent="0.2">
      <c r="B26" s="20" t="s">
        <v>31</v>
      </c>
      <c r="E26" s="1"/>
      <c r="F26" s="103">
        <v>7500</v>
      </c>
      <c r="G26" s="103">
        <v>7500</v>
      </c>
      <c r="H26" s="103">
        <v>7500</v>
      </c>
      <c r="I26" s="103">
        <v>7500</v>
      </c>
      <c r="J26" s="103">
        <v>7500</v>
      </c>
      <c r="O26" s="22" t="s">
        <v>101</v>
      </c>
      <c r="P26" s="35">
        <v>382473</v>
      </c>
      <c r="R26" t="s">
        <v>154</v>
      </c>
      <c r="S26" s="81">
        <f>ROUND(S16*0.05,2)</f>
        <v>28613.759999999998</v>
      </c>
    </row>
    <row r="27" spans="2:19" ht="13.5" thickBot="1" x14ac:dyDescent="0.25">
      <c r="B27" s="20" t="s">
        <v>32</v>
      </c>
      <c r="E27" s="1"/>
      <c r="F27" s="133">
        <v>5626</v>
      </c>
      <c r="G27" s="133">
        <v>6152</v>
      </c>
      <c r="H27" s="133">
        <v>6000</v>
      </c>
      <c r="I27" s="133">
        <v>6800</v>
      </c>
      <c r="J27" s="133">
        <v>500</v>
      </c>
      <c r="N27" s="17"/>
      <c r="O27" s="22" t="s">
        <v>89</v>
      </c>
      <c r="P27" s="43">
        <f>-P23</f>
        <v>-132697.34666666668</v>
      </c>
      <c r="S27" s="82">
        <f>SUM(S24:S26)</f>
        <v>572275.19999999995</v>
      </c>
    </row>
    <row r="28" spans="2:19" ht="13.5" thickTop="1" x14ac:dyDescent="0.2">
      <c r="B28" s="20" t="s">
        <v>33</v>
      </c>
      <c r="E28" s="1"/>
      <c r="F28" s="133">
        <v>476</v>
      </c>
      <c r="G28" s="133">
        <v>936</v>
      </c>
      <c r="H28" s="133">
        <v>1000</v>
      </c>
      <c r="I28" s="133">
        <v>351</v>
      </c>
      <c r="J28" s="133">
        <f>I28</f>
        <v>351</v>
      </c>
      <c r="O28" s="22" t="s">
        <v>111</v>
      </c>
      <c r="P28" s="44">
        <f>SUM(P26:P27)</f>
        <v>249775.65333333332</v>
      </c>
    </row>
    <row r="29" spans="2:19" x14ac:dyDescent="0.2">
      <c r="B29" s="20" t="s">
        <v>34</v>
      </c>
      <c r="E29" s="1"/>
      <c r="F29" s="143">
        <v>0</v>
      </c>
      <c r="G29" s="133">
        <v>406</v>
      </c>
      <c r="H29" s="103">
        <v>1500</v>
      </c>
      <c r="I29" s="133">
        <v>500</v>
      </c>
      <c r="J29" s="103">
        <f>H29</f>
        <v>1500</v>
      </c>
      <c r="K29" s="17"/>
      <c r="L29" s="17"/>
      <c r="M29" s="17"/>
      <c r="P29" s="1"/>
      <c r="Q29" s="6"/>
    </row>
    <row r="30" spans="2:19" x14ac:dyDescent="0.2">
      <c r="B30" s="20" t="s">
        <v>313</v>
      </c>
      <c r="E30" s="1"/>
      <c r="F30" s="143">
        <v>0</v>
      </c>
      <c r="G30" s="133">
        <v>0</v>
      </c>
      <c r="H30" s="103">
        <v>0</v>
      </c>
      <c r="I30" s="133">
        <v>0</v>
      </c>
      <c r="J30" s="103">
        <v>2400</v>
      </c>
      <c r="K30" s="17"/>
      <c r="L30" s="17"/>
      <c r="M30" s="17"/>
      <c r="P30" s="1"/>
      <c r="Q30" s="6"/>
    </row>
    <row r="31" spans="2:19" x14ac:dyDescent="0.2">
      <c r="B31" s="20" t="s">
        <v>155</v>
      </c>
      <c r="E31" s="1"/>
      <c r="F31" s="103"/>
      <c r="G31" s="133">
        <v>0</v>
      </c>
      <c r="H31" s="103">
        <f>4750*6</f>
        <v>28500</v>
      </c>
      <c r="I31" s="133">
        <v>28500</v>
      </c>
      <c r="J31" s="103">
        <f>28500*2</f>
        <v>57000</v>
      </c>
      <c r="K31" s="17"/>
      <c r="L31" s="17"/>
      <c r="M31" s="17"/>
      <c r="O31" s="22" t="s">
        <v>186</v>
      </c>
      <c r="P31" s="45">
        <f>+P61</f>
        <v>126143</v>
      </c>
    </row>
    <row r="32" spans="2:19" ht="13.5" thickBot="1" x14ac:dyDescent="0.25">
      <c r="B32" s="20" t="s">
        <v>35</v>
      </c>
      <c r="E32" s="2"/>
      <c r="F32" s="143">
        <v>6052</v>
      </c>
      <c r="G32" s="144">
        <v>6065</v>
      </c>
      <c r="H32" s="144">
        <v>8000</v>
      </c>
      <c r="I32" s="144">
        <v>6359</v>
      </c>
      <c r="J32" s="144">
        <v>8000</v>
      </c>
      <c r="K32" s="18"/>
      <c r="O32" s="22" t="s">
        <v>90</v>
      </c>
      <c r="P32" s="71">
        <f>SUM(P28:P31)</f>
        <v>375918.65333333332</v>
      </c>
    </row>
    <row r="33" spans="2:16" ht="13.5" thickTop="1" x14ac:dyDescent="0.2">
      <c r="B33" s="20" t="s">
        <v>36</v>
      </c>
      <c r="E33" s="1"/>
      <c r="F33" s="103">
        <v>2192</v>
      </c>
      <c r="G33" s="103">
        <v>4746</v>
      </c>
      <c r="H33" s="103">
        <v>5000</v>
      </c>
      <c r="I33" s="103">
        <v>5000</v>
      </c>
      <c r="J33" s="103">
        <v>2000</v>
      </c>
      <c r="O33" s="22"/>
      <c r="P33" s="1"/>
    </row>
    <row r="34" spans="2:16" x14ac:dyDescent="0.2">
      <c r="B34" s="20" t="s">
        <v>37</v>
      </c>
      <c r="E34" s="1"/>
      <c r="F34" s="103">
        <v>4847</v>
      </c>
      <c r="G34" s="103">
        <v>4816</v>
      </c>
      <c r="H34" s="103">
        <v>5000</v>
      </c>
      <c r="I34" s="103">
        <v>5000</v>
      </c>
      <c r="J34" s="103">
        <v>6000</v>
      </c>
      <c r="P34" s="1"/>
    </row>
    <row r="35" spans="2:16" x14ac:dyDescent="0.2">
      <c r="B35" s="20" t="s">
        <v>38</v>
      </c>
      <c r="E35" s="1"/>
      <c r="F35" s="103">
        <v>4093</v>
      </c>
      <c r="G35" s="103">
        <v>3476</v>
      </c>
      <c r="H35" s="103">
        <v>4000</v>
      </c>
      <c r="I35" s="103">
        <v>3290</v>
      </c>
      <c r="J35" s="103">
        <f>H35</f>
        <v>4000</v>
      </c>
      <c r="O35" s="22" t="s">
        <v>136</v>
      </c>
      <c r="P35" s="1"/>
    </row>
    <row r="36" spans="2:16" x14ac:dyDescent="0.2">
      <c r="B36" s="20" t="s">
        <v>39</v>
      </c>
      <c r="E36" s="1"/>
      <c r="F36" s="103">
        <v>1513</v>
      </c>
      <c r="G36" s="103">
        <v>1555</v>
      </c>
      <c r="H36" s="103">
        <v>1600</v>
      </c>
      <c r="I36" s="103">
        <v>1862</v>
      </c>
      <c r="J36" s="103">
        <f>H36+600</f>
        <v>2200</v>
      </c>
      <c r="O36" s="55" t="s">
        <v>138</v>
      </c>
      <c r="P36" s="1">
        <v>305793</v>
      </c>
    </row>
    <row r="37" spans="2:16" x14ac:dyDescent="0.2">
      <c r="B37" s="20" t="s">
        <v>40</v>
      </c>
      <c r="E37" s="1"/>
      <c r="F37" s="103">
        <v>4888</v>
      </c>
      <c r="G37" s="103">
        <v>4826</v>
      </c>
      <c r="H37" s="103">
        <v>5000</v>
      </c>
      <c r="I37" s="103">
        <v>5049.333333333333</v>
      </c>
      <c r="J37" s="103">
        <v>6000</v>
      </c>
      <c r="K37" s="18"/>
      <c r="O37" s="55" t="s">
        <v>137</v>
      </c>
      <c r="P37" s="1">
        <f>224421+28053</f>
        <v>252474</v>
      </c>
    </row>
    <row r="38" spans="2:16" x14ac:dyDescent="0.2">
      <c r="B38" s="20" t="s">
        <v>41</v>
      </c>
      <c r="E38" s="1"/>
      <c r="F38" s="103">
        <v>4417</v>
      </c>
      <c r="G38" s="103">
        <v>4412</v>
      </c>
      <c r="H38" s="103">
        <v>5000</v>
      </c>
      <c r="I38" s="103">
        <v>4154.666666666667</v>
      </c>
      <c r="J38" s="103">
        <v>5000</v>
      </c>
      <c r="K38" s="18"/>
      <c r="O38" s="55" t="s">
        <v>169</v>
      </c>
      <c r="P38" s="48"/>
    </row>
    <row r="39" spans="2:16" x14ac:dyDescent="0.2">
      <c r="B39" s="20" t="s">
        <v>42</v>
      </c>
      <c r="E39" s="1"/>
      <c r="F39" s="133">
        <v>1011</v>
      </c>
      <c r="G39" s="133">
        <v>1111</v>
      </c>
      <c r="H39" s="103">
        <v>1200</v>
      </c>
      <c r="I39" s="133">
        <v>999</v>
      </c>
      <c r="J39" s="103">
        <v>1200</v>
      </c>
      <c r="O39" s="72" t="s">
        <v>170</v>
      </c>
      <c r="P39" s="47">
        <f>SUM(P36:P38)</f>
        <v>558267</v>
      </c>
    </row>
    <row r="40" spans="2:16" x14ac:dyDescent="0.2">
      <c r="B40" s="20" t="s">
        <v>43</v>
      </c>
      <c r="E40" s="1"/>
      <c r="F40" s="103">
        <v>4507</v>
      </c>
      <c r="G40" s="103">
        <v>4395</v>
      </c>
      <c r="H40" s="103">
        <v>4500</v>
      </c>
      <c r="I40" s="103">
        <v>4500</v>
      </c>
      <c r="J40" s="103">
        <v>5000</v>
      </c>
      <c r="P40" s="1"/>
    </row>
    <row r="41" spans="2:16" x14ac:dyDescent="0.2">
      <c r="B41" s="20" t="s">
        <v>44</v>
      </c>
      <c r="E41" s="1"/>
      <c r="F41" s="103">
        <v>2166</v>
      </c>
      <c r="G41" s="103">
        <v>2277</v>
      </c>
      <c r="H41" s="103">
        <v>2300</v>
      </c>
      <c r="I41" s="103">
        <v>2300</v>
      </c>
      <c r="J41" s="103">
        <v>3000</v>
      </c>
      <c r="N41" s="22" t="s">
        <v>112</v>
      </c>
      <c r="O41" s="22" t="s">
        <v>119</v>
      </c>
      <c r="P41" s="48">
        <v>4204</v>
      </c>
    </row>
    <row r="42" spans="2:16" x14ac:dyDescent="0.2">
      <c r="B42" s="20" t="s">
        <v>45</v>
      </c>
      <c r="E42" s="1"/>
      <c r="F42" s="103">
        <v>3264</v>
      </c>
      <c r="G42" s="133">
        <v>16922</v>
      </c>
      <c r="H42" s="133">
        <v>4000</v>
      </c>
      <c r="I42" s="133">
        <v>4000</v>
      </c>
      <c r="J42" s="133">
        <f>H42</f>
        <v>4000</v>
      </c>
      <c r="O42" s="22" t="s">
        <v>113</v>
      </c>
      <c r="P42" s="48">
        <v>181</v>
      </c>
    </row>
    <row r="43" spans="2:16" x14ac:dyDescent="0.2">
      <c r="B43" s="22" t="s">
        <v>117</v>
      </c>
      <c r="E43" s="1"/>
      <c r="F43" s="103">
        <v>3275</v>
      </c>
      <c r="G43" s="103">
        <v>7416</v>
      </c>
      <c r="H43" s="103">
        <v>13500</v>
      </c>
      <c r="I43" s="103">
        <v>13500</v>
      </c>
      <c r="J43" s="103">
        <f>H43</f>
        <v>13500</v>
      </c>
      <c r="O43" s="22" t="s">
        <v>120</v>
      </c>
      <c r="P43" s="48">
        <v>288</v>
      </c>
    </row>
    <row r="44" spans="2:16" x14ac:dyDescent="0.2">
      <c r="B44" s="20" t="s">
        <v>46</v>
      </c>
      <c r="E44" s="1"/>
      <c r="F44" s="103">
        <v>18663</v>
      </c>
      <c r="G44" s="103">
        <v>20566</v>
      </c>
      <c r="H44" s="103">
        <v>21000</v>
      </c>
      <c r="I44" s="103">
        <v>21000</v>
      </c>
      <c r="J44" s="103">
        <f>H44</f>
        <v>21000</v>
      </c>
      <c r="O44" s="22" t="s">
        <v>114</v>
      </c>
      <c r="P44" s="42">
        <v>6186</v>
      </c>
    </row>
    <row r="45" spans="2:16" x14ac:dyDescent="0.2">
      <c r="B45" s="20" t="s">
        <v>47</v>
      </c>
      <c r="F45" s="103">
        <v>11901</v>
      </c>
      <c r="G45" s="103">
        <v>16270</v>
      </c>
      <c r="H45" s="103">
        <v>16500</v>
      </c>
      <c r="I45" s="103">
        <v>16466</v>
      </c>
      <c r="J45" s="103">
        <v>10000</v>
      </c>
      <c r="O45" s="22"/>
      <c r="P45" s="48">
        <f>SUM(P41:P44)</f>
        <v>10859</v>
      </c>
    </row>
    <row r="46" spans="2:16" x14ac:dyDescent="0.2">
      <c r="B46" s="20" t="s">
        <v>48</v>
      </c>
      <c r="F46" s="103">
        <v>9382</v>
      </c>
      <c r="G46" s="145">
        <v>3127</v>
      </c>
      <c r="H46" s="103">
        <v>0</v>
      </c>
      <c r="I46" s="145">
        <v>0</v>
      </c>
      <c r="J46" s="103">
        <v>0</v>
      </c>
      <c r="O46" s="22" t="s">
        <v>135</v>
      </c>
      <c r="P46" s="42">
        <v>-2500</v>
      </c>
    </row>
    <row r="47" spans="2:16" x14ac:dyDescent="0.2">
      <c r="B47" s="20" t="s">
        <v>49</v>
      </c>
      <c r="F47" s="103">
        <v>5576</v>
      </c>
      <c r="G47" s="103">
        <v>6933</v>
      </c>
      <c r="H47" s="103">
        <v>7000</v>
      </c>
      <c r="I47" s="103">
        <v>7000</v>
      </c>
      <c r="J47" s="103">
        <f>H47</f>
        <v>7000</v>
      </c>
      <c r="O47" s="22" t="s">
        <v>115</v>
      </c>
      <c r="P47" s="42">
        <f>SUM(P45:P46)</f>
        <v>8359</v>
      </c>
    </row>
    <row r="48" spans="2:16" x14ac:dyDescent="0.2">
      <c r="B48" s="20" t="s">
        <v>50</v>
      </c>
      <c r="F48" s="103">
        <v>8188</v>
      </c>
      <c r="G48" s="103">
        <v>10970</v>
      </c>
      <c r="H48" s="103">
        <v>13500</v>
      </c>
      <c r="I48" s="103">
        <v>14513</v>
      </c>
      <c r="J48" s="103">
        <f>I48</f>
        <v>14513</v>
      </c>
      <c r="O48" s="22" t="s">
        <v>116</v>
      </c>
      <c r="P48" s="51">
        <f>+P39+P47</f>
        <v>566626</v>
      </c>
    </row>
    <row r="49" spans="2:20" x14ac:dyDescent="0.2">
      <c r="B49" s="20" t="s">
        <v>51</v>
      </c>
      <c r="F49" s="103">
        <v>2903</v>
      </c>
      <c r="G49" s="103">
        <v>1697</v>
      </c>
      <c r="H49" s="103">
        <v>3000</v>
      </c>
      <c r="I49" s="103">
        <v>3000</v>
      </c>
      <c r="J49" s="103">
        <f>H49</f>
        <v>3000</v>
      </c>
      <c r="K49" s="18"/>
      <c r="P49" s="1"/>
    </row>
    <row r="50" spans="2:20" x14ac:dyDescent="0.2">
      <c r="B50" s="20" t="s">
        <v>52</v>
      </c>
      <c r="F50" s="103">
        <v>12148</v>
      </c>
      <c r="G50" s="103">
        <v>11423</v>
      </c>
      <c r="H50" s="103">
        <v>13000</v>
      </c>
      <c r="I50" s="103">
        <v>13000</v>
      </c>
      <c r="J50" s="103">
        <f>H50</f>
        <v>13000</v>
      </c>
      <c r="N50" s="22" t="s">
        <v>96</v>
      </c>
      <c r="O50" s="22" t="s">
        <v>97</v>
      </c>
      <c r="P50" s="46"/>
    </row>
    <row r="51" spans="2:20" x14ac:dyDescent="0.2">
      <c r="B51" s="20" t="s">
        <v>53</v>
      </c>
      <c r="F51" s="103">
        <v>4379</v>
      </c>
      <c r="G51" s="103">
        <v>5059</v>
      </c>
      <c r="H51" s="103">
        <v>5000</v>
      </c>
      <c r="I51" s="103">
        <v>5890</v>
      </c>
      <c r="J51" s="103">
        <f>I51</f>
        <v>5890</v>
      </c>
      <c r="N51" s="22"/>
      <c r="O51" s="22" t="s">
        <v>135</v>
      </c>
      <c r="P51" s="46"/>
    </row>
    <row r="52" spans="2:20" x14ac:dyDescent="0.2">
      <c r="B52" s="20" t="s">
        <v>142</v>
      </c>
      <c r="F52" s="146">
        <v>2750</v>
      </c>
      <c r="G52" s="146">
        <v>6006</v>
      </c>
      <c r="H52" s="143">
        <v>6500</v>
      </c>
      <c r="I52" s="146">
        <v>5578</v>
      </c>
      <c r="J52" s="143">
        <v>6000</v>
      </c>
      <c r="O52" s="22" t="s">
        <v>98</v>
      </c>
      <c r="P52" s="46"/>
      <c r="R52" s="22" t="s">
        <v>171</v>
      </c>
    </row>
    <row r="53" spans="2:20" x14ac:dyDescent="0.2">
      <c r="B53" s="20" t="s">
        <v>118</v>
      </c>
      <c r="F53" s="143">
        <v>9830</v>
      </c>
      <c r="G53" s="143">
        <v>10534</v>
      </c>
      <c r="H53" s="143">
        <v>0</v>
      </c>
      <c r="I53" s="143">
        <v>4204</v>
      </c>
      <c r="J53" s="143">
        <v>10000</v>
      </c>
      <c r="O53" s="22" t="s">
        <v>99</v>
      </c>
      <c r="P53" s="49"/>
      <c r="R53" s="22"/>
      <c r="S53" s="40">
        <v>42185</v>
      </c>
      <c r="T53" s="49">
        <v>2861</v>
      </c>
    </row>
    <row r="54" spans="2:20" x14ac:dyDescent="0.2">
      <c r="F54" s="103"/>
      <c r="G54" s="103"/>
      <c r="H54" s="103"/>
      <c r="I54" s="103"/>
      <c r="J54" s="103"/>
      <c r="O54" s="22" t="s">
        <v>100</v>
      </c>
      <c r="P54" s="49"/>
      <c r="R54" s="22"/>
      <c r="S54" s="58">
        <v>42369</v>
      </c>
      <c r="T54" s="49">
        <f>+T53*1.02</f>
        <v>2918.2200000000003</v>
      </c>
    </row>
    <row r="55" spans="2:20" x14ac:dyDescent="0.2">
      <c r="B55" s="116" t="s">
        <v>54</v>
      </c>
      <c r="F55" s="147">
        <f t="shared" ref="F55:G55" si="0">SUM(F26:F54)</f>
        <v>141547</v>
      </c>
      <c r="G55" s="147">
        <f t="shared" si="0"/>
        <v>169596</v>
      </c>
      <c r="H55" s="147">
        <f>SUM(H26:H54)</f>
        <v>189100</v>
      </c>
      <c r="I55" s="147">
        <f>SUM(I26:I54)</f>
        <v>190316</v>
      </c>
      <c r="J55" s="147">
        <f>SUM(J26:J54)</f>
        <v>219554</v>
      </c>
      <c r="O55" s="22"/>
      <c r="P55" s="49"/>
      <c r="S55" s="22" t="s">
        <v>123</v>
      </c>
      <c r="T55" s="50">
        <v>200</v>
      </c>
    </row>
    <row r="56" spans="2:20" x14ac:dyDescent="0.2">
      <c r="F56" s="103"/>
      <c r="G56" s="103"/>
      <c r="H56" s="103"/>
      <c r="I56" s="103"/>
      <c r="J56" s="103"/>
      <c r="P56" s="68">
        <f>SUM(P50:P55)</f>
        <v>0</v>
      </c>
      <c r="T56" s="49">
        <f>SUM(T53:T55)</f>
        <v>5979.22</v>
      </c>
    </row>
    <row r="57" spans="2:20" x14ac:dyDescent="0.2">
      <c r="F57" s="103"/>
      <c r="G57" s="103"/>
      <c r="H57" s="134"/>
      <c r="I57" s="134"/>
      <c r="J57" s="134"/>
      <c r="T57" s="49"/>
    </row>
    <row r="58" spans="2:20" x14ac:dyDescent="0.2">
      <c r="F58" s="103"/>
      <c r="G58" s="103"/>
      <c r="H58" s="103"/>
      <c r="I58" s="103"/>
      <c r="J58" s="103"/>
      <c r="T58" s="49"/>
    </row>
    <row r="59" spans="2:20" s="30" customFormat="1" x14ac:dyDescent="0.2">
      <c r="F59" s="150"/>
      <c r="G59" s="150"/>
      <c r="H59" s="150"/>
      <c r="I59" s="150"/>
      <c r="J59" s="150"/>
      <c r="N59" s="104" t="s">
        <v>134</v>
      </c>
      <c r="O59" s="104" t="s">
        <v>187</v>
      </c>
      <c r="P59" s="49">
        <v>126143</v>
      </c>
    </row>
    <row r="60" spans="2:20" hidden="1" x14ac:dyDescent="0.2">
      <c r="F60" s="103"/>
      <c r="G60" s="103"/>
      <c r="H60" s="103"/>
      <c r="I60" s="103"/>
      <c r="J60" s="103"/>
      <c r="P60" s="50"/>
    </row>
    <row r="61" spans="2:20" hidden="1" x14ac:dyDescent="0.2">
      <c r="B61" s="19" t="s">
        <v>55</v>
      </c>
      <c r="F61" s="103"/>
      <c r="G61" s="103"/>
      <c r="H61" s="103"/>
      <c r="I61" s="103"/>
      <c r="J61" s="103"/>
      <c r="P61" s="49">
        <f>SUM(P59:P60)</f>
        <v>126143</v>
      </c>
    </row>
    <row r="62" spans="2:20" hidden="1" x14ac:dyDescent="0.2">
      <c r="B62" s="19" t="s">
        <v>325</v>
      </c>
      <c r="F62" s="103"/>
      <c r="G62" s="103"/>
      <c r="H62" s="103"/>
      <c r="I62" s="103"/>
      <c r="J62" s="103"/>
      <c r="P62" s="49"/>
    </row>
    <row r="63" spans="2:20" hidden="1" x14ac:dyDescent="0.2">
      <c r="F63" s="103"/>
      <c r="G63" s="103"/>
      <c r="H63" s="103"/>
      <c r="I63" s="103"/>
      <c r="J63" s="103"/>
      <c r="P63" s="49"/>
    </row>
    <row r="64" spans="2:20" hidden="1" x14ac:dyDescent="0.2">
      <c r="F64" s="137"/>
      <c r="G64" s="137"/>
      <c r="H64" s="137"/>
      <c r="I64" s="137"/>
      <c r="J64" s="137"/>
      <c r="N64" s="30"/>
      <c r="O64" s="30"/>
      <c r="P64" s="49"/>
    </row>
    <row r="65" spans="2:21" x14ac:dyDescent="0.2">
      <c r="F65" s="137"/>
      <c r="G65" s="137"/>
      <c r="H65" s="137"/>
      <c r="I65" s="137"/>
      <c r="J65" s="137"/>
      <c r="N65" s="30"/>
      <c r="O65" s="30"/>
      <c r="P65" s="49"/>
    </row>
    <row r="66" spans="2:21" x14ac:dyDescent="0.2">
      <c r="F66" s="137"/>
      <c r="G66" s="137"/>
      <c r="H66" s="137"/>
      <c r="I66" s="137"/>
      <c r="J66" s="137"/>
      <c r="N66" s="30"/>
      <c r="O66" s="30"/>
      <c r="P66" s="49"/>
    </row>
    <row r="67" spans="2:21" x14ac:dyDescent="0.2">
      <c r="F67" s="137"/>
      <c r="G67" s="137"/>
      <c r="H67" s="137"/>
      <c r="I67" s="137"/>
      <c r="J67" s="137"/>
      <c r="N67" s="30"/>
      <c r="O67" s="30"/>
      <c r="P67" s="49"/>
    </row>
    <row r="68" spans="2:21" x14ac:dyDescent="0.2">
      <c r="F68" s="137"/>
      <c r="G68" s="137"/>
      <c r="H68" s="137"/>
      <c r="I68" s="137"/>
      <c r="J68" s="137"/>
      <c r="N68" s="30"/>
      <c r="O68" s="30"/>
      <c r="P68" s="49"/>
    </row>
    <row r="69" spans="2:21" x14ac:dyDescent="0.2">
      <c r="F69" s="137"/>
      <c r="G69" s="137"/>
      <c r="H69" s="137"/>
      <c r="I69" s="137"/>
      <c r="J69" s="137"/>
      <c r="N69" s="30"/>
      <c r="O69" s="30"/>
      <c r="P69" s="49"/>
    </row>
    <row r="70" spans="2:21" x14ac:dyDescent="0.2">
      <c r="F70" s="137"/>
      <c r="G70" s="137"/>
      <c r="H70" s="137"/>
      <c r="I70" s="137"/>
      <c r="J70" s="137"/>
      <c r="N70" s="30"/>
      <c r="O70" s="30"/>
      <c r="P70" s="49"/>
    </row>
    <row r="71" spans="2:21" ht="22.5" x14ac:dyDescent="0.2">
      <c r="B71" s="114" t="s">
        <v>56</v>
      </c>
      <c r="F71" s="139" t="str">
        <f t="shared" ref="F71:G71" si="1">+F23</f>
        <v>Actual 2012</v>
      </c>
      <c r="G71" s="139" t="str">
        <f t="shared" si="1"/>
        <v>Actual 2013</v>
      </c>
      <c r="H71" s="139" t="str">
        <f t="shared" ref="H71:J71" si="2">+H23</f>
        <v>Approved 2014</v>
      </c>
      <c r="I71" s="139" t="str">
        <f t="shared" si="2"/>
        <v>Projected FY 2014</v>
      </c>
      <c r="J71" s="139" t="str">
        <f t="shared" si="2"/>
        <v>Proposed FY 2015</v>
      </c>
      <c r="N71" s="30"/>
      <c r="O71" s="30"/>
      <c r="P71" s="49"/>
    </row>
    <row r="72" spans="2:21" hidden="1" x14ac:dyDescent="0.2">
      <c r="F72" s="103"/>
      <c r="G72" s="103"/>
      <c r="H72" s="103"/>
      <c r="I72" s="103"/>
      <c r="J72" s="103"/>
      <c r="N72" s="30"/>
      <c r="O72" s="30"/>
      <c r="P72" s="49"/>
    </row>
    <row r="73" spans="2:21" x14ac:dyDescent="0.2">
      <c r="B73" s="20" t="s">
        <v>57</v>
      </c>
      <c r="F73" s="145">
        <v>12840</v>
      </c>
      <c r="G73" s="103">
        <v>10381</v>
      </c>
      <c r="H73" s="133">
        <v>16000</v>
      </c>
      <c r="I73" s="103">
        <v>10787</v>
      </c>
      <c r="J73" s="133">
        <f>'Workers'' Compensation'!E22</f>
        <v>14241.19</v>
      </c>
      <c r="P73" s="49"/>
    </row>
    <row r="74" spans="2:21" x14ac:dyDescent="0.2">
      <c r="B74" s="20" t="s">
        <v>58</v>
      </c>
      <c r="F74" s="143">
        <v>50676</v>
      </c>
      <c r="G74" s="133">
        <v>44897</v>
      </c>
      <c r="H74" s="133">
        <v>58780</v>
      </c>
      <c r="I74" s="133">
        <v>48763.68</v>
      </c>
      <c r="J74" s="133">
        <v>60000</v>
      </c>
      <c r="O74" t="s">
        <v>188</v>
      </c>
      <c r="P74" s="49"/>
    </row>
    <row r="75" spans="2:21" x14ac:dyDescent="0.2">
      <c r="B75" s="20" t="s">
        <v>59</v>
      </c>
      <c r="F75" s="145">
        <v>24716</v>
      </c>
      <c r="G75" s="103">
        <v>25968</v>
      </c>
      <c r="H75" s="133">
        <v>28000</v>
      </c>
      <c r="I75" s="103">
        <v>20177.333333333332</v>
      </c>
      <c r="J75" s="133">
        <f>'Payroll Estimates'!P17</f>
        <v>23972.06333145274</v>
      </c>
    </row>
    <row r="76" spans="2:21" x14ac:dyDescent="0.2">
      <c r="B76" s="20" t="s">
        <v>60</v>
      </c>
      <c r="F76" s="145">
        <v>1253</v>
      </c>
      <c r="G76" s="103">
        <v>1366</v>
      </c>
      <c r="H76" s="133">
        <v>1400</v>
      </c>
      <c r="I76" s="103">
        <v>1372</v>
      </c>
      <c r="J76" s="133">
        <v>1400</v>
      </c>
      <c r="O76" s="22" t="s">
        <v>124</v>
      </c>
      <c r="S76" s="73" t="s">
        <v>143</v>
      </c>
    </row>
    <row r="77" spans="2:21" x14ac:dyDescent="0.2">
      <c r="B77" s="20" t="s">
        <v>61</v>
      </c>
      <c r="F77" s="145">
        <v>4700</v>
      </c>
      <c r="G77" s="103">
        <v>5600</v>
      </c>
      <c r="H77" s="103">
        <v>6000</v>
      </c>
      <c r="I77" s="103">
        <v>6000</v>
      </c>
      <c r="J77" s="103">
        <v>6000</v>
      </c>
      <c r="M77" s="22" t="s">
        <v>94</v>
      </c>
      <c r="O77" s="22" t="s">
        <v>125</v>
      </c>
      <c r="P77" s="1">
        <f>+C11</f>
        <v>304035</v>
      </c>
      <c r="S77" t="s">
        <v>144</v>
      </c>
      <c r="U77" s="1" t="e">
        <f>+#REF!</f>
        <v>#REF!</v>
      </c>
    </row>
    <row r="78" spans="2:21" x14ac:dyDescent="0.2">
      <c r="B78" s="20" t="s">
        <v>62</v>
      </c>
      <c r="F78" s="145">
        <v>283134</v>
      </c>
      <c r="G78" s="103">
        <v>273455</v>
      </c>
      <c r="H78" s="133">
        <f>310000-H31</f>
        <v>281500</v>
      </c>
      <c r="I78" s="103">
        <v>230941.33333333331</v>
      </c>
      <c r="J78" s="133">
        <f>'Payroll Estimates'!K17</f>
        <v>264558.30969219276</v>
      </c>
      <c r="O78" s="22" t="s">
        <v>126</v>
      </c>
      <c r="P78" s="1">
        <f>+P48-P46</f>
        <v>569126</v>
      </c>
      <c r="S78" t="s">
        <v>178</v>
      </c>
      <c r="U78" s="1">
        <v>-49220</v>
      </c>
    </row>
    <row r="79" spans="2:21" hidden="1" x14ac:dyDescent="0.2">
      <c r="B79" s="20" t="s">
        <v>63</v>
      </c>
      <c r="F79" s="103"/>
      <c r="G79" s="103"/>
      <c r="H79" s="134"/>
      <c r="I79" s="134"/>
      <c r="J79" s="134"/>
      <c r="O79" s="22" t="s">
        <v>127</v>
      </c>
      <c r="P79" s="48">
        <f>-H11-H12</f>
        <v>-508357.34666666668</v>
      </c>
      <c r="U79" s="68" t="e">
        <f>SUM(U77:U78)</f>
        <v>#REF!</v>
      </c>
    </row>
    <row r="80" spans="2:21" x14ac:dyDescent="0.2">
      <c r="B80" s="114" t="s">
        <v>64</v>
      </c>
      <c r="F80" s="135">
        <f t="shared" ref="F80:G80" si="3">SUM(F73:F79)</f>
        <v>377319</v>
      </c>
      <c r="G80" s="135">
        <f t="shared" si="3"/>
        <v>361667</v>
      </c>
      <c r="H80" s="135">
        <f>SUM(H73:H79)</f>
        <v>391680</v>
      </c>
      <c r="I80" s="135">
        <f>SUM(I73:I79)</f>
        <v>318041.34666666668</v>
      </c>
      <c r="J80" s="135">
        <f>SUM(J73:J79)</f>
        <v>370171.56302364549</v>
      </c>
      <c r="O80" s="22" t="s">
        <v>139</v>
      </c>
      <c r="P80" s="48"/>
      <c r="S80" s="22" t="s">
        <v>145</v>
      </c>
      <c r="U80" s="1">
        <v>-1</v>
      </c>
    </row>
    <row r="81" spans="2:22" x14ac:dyDescent="0.2">
      <c r="F81" s="103"/>
      <c r="G81" s="103"/>
      <c r="H81" s="103"/>
      <c r="I81" s="103"/>
      <c r="J81" s="103"/>
    </row>
    <row r="82" spans="2:22" x14ac:dyDescent="0.2">
      <c r="F82" s="103"/>
      <c r="G82" s="103"/>
      <c r="H82" s="103"/>
      <c r="I82" s="103"/>
      <c r="J82" s="103"/>
      <c r="O82" t="s">
        <v>141</v>
      </c>
      <c r="P82" s="73"/>
      <c r="Q82" s="73"/>
      <c r="R82" s="73"/>
      <c r="S82" s="22" t="s">
        <v>146</v>
      </c>
      <c r="V82" s="1"/>
    </row>
    <row r="83" spans="2:22" x14ac:dyDescent="0.2">
      <c r="F83" s="103"/>
      <c r="G83" s="103"/>
      <c r="H83" s="103"/>
      <c r="I83" s="103"/>
      <c r="J83" s="103"/>
      <c r="O83" s="22" t="s">
        <v>172</v>
      </c>
      <c r="P83" s="73"/>
      <c r="Q83" s="73"/>
      <c r="R83" s="73"/>
      <c r="S83" s="79" t="s">
        <v>147</v>
      </c>
      <c r="V83" s="1">
        <f>+P23</f>
        <v>132697.34666666668</v>
      </c>
    </row>
    <row r="84" spans="2:22" x14ac:dyDescent="0.2">
      <c r="F84" s="103"/>
      <c r="G84" s="103"/>
      <c r="H84" s="103"/>
      <c r="I84" s="103"/>
      <c r="J84" s="103"/>
      <c r="O84" s="22" t="s">
        <v>173</v>
      </c>
      <c r="P84" s="73"/>
      <c r="Q84" s="73"/>
      <c r="R84" s="73"/>
      <c r="S84" s="79" t="s">
        <v>179</v>
      </c>
      <c r="V84" s="1">
        <f>-P38</f>
        <v>0</v>
      </c>
    </row>
    <row r="85" spans="2:22" x14ac:dyDescent="0.2">
      <c r="B85" s="114" t="s">
        <v>66</v>
      </c>
      <c r="F85" s="137"/>
      <c r="G85" s="137"/>
      <c r="H85" s="137"/>
      <c r="I85" s="137"/>
      <c r="J85" s="137"/>
      <c r="P85" s="73">
        <f>SUM(P83:P84)</f>
        <v>0</v>
      </c>
      <c r="Q85" s="73"/>
      <c r="R85" s="73"/>
      <c r="S85" s="73"/>
      <c r="V85" s="1"/>
    </row>
    <row r="86" spans="2:22" ht="22.5" x14ac:dyDescent="0.2">
      <c r="F86" s="139" t="str">
        <f>+F71</f>
        <v>Actual 2012</v>
      </c>
      <c r="G86" s="139" t="str">
        <f>+G71</f>
        <v>Actual 2013</v>
      </c>
      <c r="H86" s="139" t="str">
        <f>+H71</f>
        <v>Approved 2014</v>
      </c>
      <c r="I86" s="139" t="str">
        <f>+I71</f>
        <v>Projected FY 2014</v>
      </c>
      <c r="J86" s="139" t="str">
        <f>+J71</f>
        <v>Proposed FY 2015</v>
      </c>
      <c r="O86" s="22" t="s">
        <v>174</v>
      </c>
      <c r="P86" s="74"/>
      <c r="Q86" s="73"/>
      <c r="R86" s="73"/>
      <c r="S86" s="78" t="s">
        <v>148</v>
      </c>
      <c r="V86" s="1"/>
    </row>
    <row r="87" spans="2:22" x14ac:dyDescent="0.2">
      <c r="B87" s="22" t="s">
        <v>183</v>
      </c>
      <c r="F87" s="143">
        <v>6900</v>
      </c>
      <c r="G87" s="133"/>
      <c r="H87" s="133"/>
      <c r="I87" s="133"/>
      <c r="J87" s="133"/>
      <c r="P87" s="73"/>
      <c r="Q87" s="73"/>
      <c r="R87" s="73"/>
      <c r="S87" s="77" t="s">
        <v>149</v>
      </c>
      <c r="V87" s="1" t="e">
        <f>+#REF!</f>
        <v>#REF!</v>
      </c>
    </row>
    <row r="88" spans="2:22" x14ac:dyDescent="0.2">
      <c r="B88" s="22" t="s">
        <v>102</v>
      </c>
      <c r="F88" s="133"/>
      <c r="G88" s="133">
        <v>1349</v>
      </c>
      <c r="H88" s="133">
        <v>0</v>
      </c>
      <c r="I88" s="133">
        <v>0</v>
      </c>
      <c r="J88" s="133">
        <v>0</v>
      </c>
      <c r="O88" s="22" t="s">
        <v>175</v>
      </c>
      <c r="P88" s="73"/>
      <c r="Q88" s="73"/>
      <c r="R88" s="73"/>
      <c r="S88" s="77" t="s">
        <v>150</v>
      </c>
      <c r="V88" s="68" t="e">
        <f>SUM(V87:V87)</f>
        <v>#REF!</v>
      </c>
    </row>
    <row r="89" spans="2:22" x14ac:dyDescent="0.2">
      <c r="B89" s="22" t="s">
        <v>103</v>
      </c>
      <c r="C89" s="155" t="s">
        <v>297</v>
      </c>
      <c r="D89" s="154"/>
      <c r="F89" s="133"/>
      <c r="G89" s="133">
        <v>11886</v>
      </c>
      <c r="H89" s="133">
        <v>0</v>
      </c>
      <c r="I89" s="133">
        <v>0</v>
      </c>
      <c r="J89" s="133">
        <v>0</v>
      </c>
      <c r="O89" s="22" t="s">
        <v>140</v>
      </c>
      <c r="P89" s="73"/>
      <c r="Q89" s="73">
        <v>305792.82</v>
      </c>
      <c r="R89" s="73"/>
      <c r="S89" s="73"/>
      <c r="V89" s="1"/>
    </row>
    <row r="90" spans="2:22" x14ac:dyDescent="0.2">
      <c r="B90" s="22" t="s">
        <v>298</v>
      </c>
      <c r="D90" s="155" t="s">
        <v>299</v>
      </c>
      <c r="E90" s="154"/>
      <c r="F90" s="133"/>
      <c r="G90" s="133"/>
      <c r="H90" s="133"/>
      <c r="I90" s="133"/>
      <c r="J90" s="133">
        <v>0</v>
      </c>
      <c r="O90" s="22"/>
      <c r="P90" s="73"/>
      <c r="Q90" s="73"/>
      <c r="R90" s="73"/>
      <c r="S90" s="73"/>
      <c r="V90" s="1"/>
    </row>
    <row r="91" spans="2:22" ht="13.5" thickBot="1" x14ac:dyDescent="0.25">
      <c r="B91" s="20" t="s">
        <v>296</v>
      </c>
      <c r="D91" s="22" t="s">
        <v>299</v>
      </c>
      <c r="F91" s="133"/>
      <c r="G91" s="133"/>
      <c r="H91" s="148"/>
      <c r="I91" s="148"/>
      <c r="J91" s="109">
        <v>0</v>
      </c>
      <c r="O91" s="22" t="s">
        <v>176</v>
      </c>
      <c r="P91" s="73"/>
      <c r="Q91" s="73"/>
      <c r="R91" s="73"/>
      <c r="S91" s="77" t="s">
        <v>180</v>
      </c>
      <c r="V91" s="80" t="e">
        <f>+#REF!+V88</f>
        <v>#REF!</v>
      </c>
    </row>
    <row r="92" spans="2:22" ht="14.25" thickTop="1" thickBot="1" x14ac:dyDescent="0.25">
      <c r="B92" s="21" t="s">
        <v>67</v>
      </c>
      <c r="F92" s="135">
        <f>SUM(F87:F91)</f>
        <v>6900</v>
      </c>
      <c r="G92" s="135">
        <f t="shared" ref="G92" si="4">SUM(G88:G91)</f>
        <v>13235</v>
      </c>
      <c r="H92" s="135">
        <f>SUM(H88:H91)</f>
        <v>0</v>
      </c>
      <c r="I92" s="135">
        <f>SUM(I88:I91)</f>
        <v>0</v>
      </c>
      <c r="J92" s="135">
        <f>SUM(J88:J91)</f>
        <v>0</v>
      </c>
      <c r="O92" s="22" t="s">
        <v>177</v>
      </c>
      <c r="P92" s="73"/>
      <c r="Q92" s="76">
        <f>SUM(Q87:Q91)</f>
        <v>305792.82</v>
      </c>
      <c r="R92" s="73"/>
      <c r="S92" s="73"/>
    </row>
    <row r="93" spans="2:22" ht="13.5" hidden="1" thickTop="1" x14ac:dyDescent="0.2">
      <c r="F93" s="103"/>
      <c r="G93" s="103"/>
      <c r="H93" s="103"/>
      <c r="I93" s="103"/>
      <c r="J93" s="103"/>
      <c r="N93" s="2"/>
      <c r="P93" s="73"/>
      <c r="Q93" s="73"/>
      <c r="R93" s="73"/>
      <c r="S93" s="73"/>
    </row>
    <row r="94" spans="2:22" hidden="1" x14ac:dyDescent="0.2">
      <c r="F94" s="103"/>
      <c r="G94" s="103"/>
      <c r="H94" s="103"/>
      <c r="I94" s="103"/>
      <c r="J94" s="103"/>
      <c r="N94" s="2"/>
      <c r="P94" s="73"/>
      <c r="Q94" s="73"/>
      <c r="R94" s="73"/>
      <c r="S94" s="73"/>
    </row>
    <row r="95" spans="2:22" ht="13.5" thickTop="1" x14ac:dyDescent="0.2">
      <c r="B95" s="155" t="s">
        <v>322</v>
      </c>
      <c r="C95" s="154"/>
      <c r="D95" s="154"/>
      <c r="F95" s="103">
        <f>+F55+F80+F92</f>
        <v>525766</v>
      </c>
      <c r="G95" s="103">
        <f>+G55+G80+G92</f>
        <v>544498</v>
      </c>
      <c r="H95" s="103">
        <f>+H55+H80+H92</f>
        <v>580780</v>
      </c>
      <c r="I95" s="103">
        <f>+I55+I80+I92</f>
        <v>508357.34666666668</v>
      </c>
      <c r="J95" s="103">
        <f>+J55+J80+J92</f>
        <v>589725.56302364543</v>
      </c>
      <c r="N95" s="2"/>
      <c r="P95" s="73"/>
      <c r="Q95" s="73"/>
      <c r="R95" s="73"/>
      <c r="S95" s="73"/>
    </row>
    <row r="96" spans="2:22" x14ac:dyDescent="0.2">
      <c r="H96" s="1"/>
      <c r="I96" s="1"/>
      <c r="J96" s="1"/>
      <c r="N96" s="2"/>
      <c r="P96" s="73"/>
      <c r="Q96" s="73"/>
      <c r="R96" s="73"/>
      <c r="S96" s="73"/>
    </row>
    <row r="97" spans="8:19" x14ac:dyDescent="0.2">
      <c r="H97" s="1"/>
      <c r="I97" s="1"/>
      <c r="J97" s="149"/>
      <c r="N97" s="2"/>
      <c r="P97" s="73"/>
      <c r="Q97" s="73"/>
      <c r="R97" s="73"/>
      <c r="S97" s="73"/>
    </row>
    <row r="98" spans="8:19" x14ac:dyDescent="0.2">
      <c r="I98" s="5"/>
      <c r="J98" s="1"/>
      <c r="N98" s="1"/>
    </row>
    <row r="99" spans="8:19" x14ac:dyDescent="0.2">
      <c r="H99" s="1"/>
      <c r="I99" s="1"/>
      <c r="J99" s="1"/>
    </row>
    <row r="100" spans="8:19" x14ac:dyDescent="0.2">
      <c r="H100" s="2"/>
      <c r="I100" s="1"/>
      <c r="J100" s="1"/>
    </row>
    <row r="101" spans="8:19" x14ac:dyDescent="0.2">
      <c r="H101" s="4"/>
      <c r="I101" s="4"/>
      <c r="J101" s="4"/>
    </row>
    <row r="102" spans="8:19" x14ac:dyDescent="0.2">
      <c r="H102" s="1"/>
      <c r="I102" s="1"/>
      <c r="J102" s="1"/>
    </row>
    <row r="103" spans="8:19" x14ac:dyDescent="0.2">
      <c r="H103" s="1"/>
      <c r="I103" s="1"/>
      <c r="J103" s="1"/>
    </row>
    <row r="107" spans="8:19" x14ac:dyDescent="0.2">
      <c r="H107" s="1"/>
      <c r="I107" s="1"/>
      <c r="J107" s="1"/>
    </row>
    <row r="109" spans="8:19" x14ac:dyDescent="0.2">
      <c r="H109" s="1"/>
      <c r="I109" s="1"/>
      <c r="J109" s="1"/>
    </row>
  </sheetData>
  <mergeCells count="11">
    <mergeCell ref="A1:K1"/>
    <mergeCell ref="A2:K2"/>
    <mergeCell ref="B18:D18"/>
    <mergeCell ref="B19:D19"/>
    <mergeCell ref="B95:D95"/>
    <mergeCell ref="C89:D89"/>
    <mergeCell ref="D90:E90"/>
    <mergeCell ref="F11:G11"/>
    <mergeCell ref="F13:G13"/>
    <mergeCell ref="B21:D21"/>
    <mergeCell ref="B20:D20"/>
  </mergeCells>
  <phoneticPr fontId="3" type="noConversion"/>
  <pageMargins left="0.7" right="0.7" top="0.75" bottom="0.75" header="0.3" footer="0.3"/>
  <pageSetup scale="82" fitToWidth="0" fitToHeight="0" orientation="portrait" horizontalDpi="4294967293" r:id="rId1"/>
  <headerFooter alignWithMargins="0">
    <oddHeader xml:space="preserve">&amp;CSaddle Creek Community Services District 
Draft 2015 Budget </oddHeader>
    <oddFooter>&amp;C&amp;A
Page &amp;P of &amp;N</oddFooter>
  </headerFooter>
  <rowBreaks count="1" manualBreakCount="1">
    <brk id="59"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topLeftCell="B1" workbookViewId="0">
      <selection activeCell="F9" sqref="F9"/>
    </sheetView>
  </sheetViews>
  <sheetFormatPr defaultRowHeight="12.75" x14ac:dyDescent="0.2"/>
  <cols>
    <col min="1" max="1" width="0" hidden="1" customWidth="1"/>
    <col min="2" max="3" width="9.7109375" bestFit="1" customWidth="1"/>
    <col min="4" max="4" width="10.7109375" bestFit="1" customWidth="1"/>
    <col min="5" max="7" width="9.7109375" bestFit="1" customWidth="1"/>
    <col min="8" max="8" width="10.7109375" bestFit="1" customWidth="1"/>
  </cols>
  <sheetData>
    <row r="1" spans="1:8" x14ac:dyDescent="0.2">
      <c r="A1" s="1">
        <v>66500</v>
      </c>
      <c r="B1" s="1">
        <f>A1*1.03</f>
        <v>68495</v>
      </c>
      <c r="C1" s="1">
        <v>70000</v>
      </c>
      <c r="D1" s="1">
        <f>C1*1.03</f>
        <v>72100</v>
      </c>
      <c r="E1" s="1">
        <v>73500</v>
      </c>
      <c r="F1" s="1">
        <f>E1*1.03</f>
        <v>75705</v>
      </c>
      <c r="G1" s="1">
        <v>77175</v>
      </c>
      <c r="H1" s="1">
        <f>G1*1.03</f>
        <v>79490.25</v>
      </c>
    </row>
    <row r="2" spans="1:8" x14ac:dyDescent="0.2">
      <c r="A2" s="59">
        <v>38367</v>
      </c>
      <c r="B2" s="1">
        <f t="shared" ref="B2:B7" si="0">A2*1.03</f>
        <v>39518.01</v>
      </c>
      <c r="C2" s="59">
        <v>40559.4</v>
      </c>
      <c r="D2" s="1">
        <f t="shared" ref="D2:D7" si="1">C2*1.03</f>
        <v>41776.182000000001</v>
      </c>
      <c r="E2" s="59">
        <v>42751.8</v>
      </c>
      <c r="F2" s="1">
        <f t="shared" ref="F2:F7" si="2">E2*1.03</f>
        <v>44034.354000000007</v>
      </c>
      <c r="G2" s="59">
        <v>44944.200000000004</v>
      </c>
      <c r="H2" s="1">
        <f t="shared" ref="H2:H7" si="3">G2*1.03</f>
        <v>46292.526000000005</v>
      </c>
    </row>
    <row r="3" spans="1:8" x14ac:dyDescent="0.2">
      <c r="A3" s="60">
        <v>15.23</v>
      </c>
      <c r="B3" s="5">
        <f t="shared" si="0"/>
        <v>15.686900000000001</v>
      </c>
      <c r="C3" s="60">
        <v>16.28</v>
      </c>
      <c r="D3" s="5">
        <f t="shared" si="1"/>
        <v>16.768400000000003</v>
      </c>
      <c r="E3" s="60">
        <v>17.329999999999998</v>
      </c>
      <c r="F3" s="5">
        <f t="shared" si="2"/>
        <v>17.849899999999998</v>
      </c>
      <c r="G3" s="60">
        <v>18.38</v>
      </c>
      <c r="H3" s="5">
        <f t="shared" si="3"/>
        <v>18.9314</v>
      </c>
    </row>
    <row r="4" spans="1:8" x14ac:dyDescent="0.2">
      <c r="A4" s="60">
        <v>11.03</v>
      </c>
      <c r="B4" s="5">
        <f t="shared" si="0"/>
        <v>11.360899999999999</v>
      </c>
      <c r="C4" s="60">
        <v>12.08</v>
      </c>
      <c r="D4" s="5">
        <f t="shared" si="1"/>
        <v>12.442400000000001</v>
      </c>
      <c r="E4" s="60">
        <v>13.13</v>
      </c>
      <c r="F4" s="5">
        <f t="shared" si="2"/>
        <v>13.523900000000001</v>
      </c>
      <c r="G4" s="60">
        <v>14.18</v>
      </c>
      <c r="H4" s="5">
        <f t="shared" si="3"/>
        <v>14.605399999999999</v>
      </c>
    </row>
    <row r="5" spans="1:8" x14ac:dyDescent="0.2">
      <c r="A5" s="60">
        <v>11.03</v>
      </c>
      <c r="B5" s="5">
        <f t="shared" si="0"/>
        <v>11.360899999999999</v>
      </c>
      <c r="C5" s="61" t="s">
        <v>27</v>
      </c>
      <c r="D5" s="106" t="s">
        <v>295</v>
      </c>
      <c r="E5" s="107" t="s">
        <v>27</v>
      </c>
      <c r="F5" s="106" t="s">
        <v>295</v>
      </c>
      <c r="G5" s="107" t="s">
        <v>27</v>
      </c>
      <c r="H5" s="106" t="s">
        <v>295</v>
      </c>
    </row>
    <row r="6" spans="1:8" x14ac:dyDescent="0.2">
      <c r="A6" s="81">
        <v>22.5</v>
      </c>
      <c r="B6" s="5">
        <f t="shared" si="0"/>
        <v>23.175000000000001</v>
      </c>
      <c r="C6" s="57">
        <f>A6*1.05</f>
        <v>23.625</v>
      </c>
      <c r="D6" s="5">
        <f t="shared" si="1"/>
        <v>24.333750000000002</v>
      </c>
      <c r="E6" s="57">
        <f>C6*1.05</f>
        <v>24.806250000000002</v>
      </c>
      <c r="F6" s="5">
        <f t="shared" si="2"/>
        <v>25.550437500000005</v>
      </c>
      <c r="G6" s="57">
        <f t="shared" ref="G6:G7" si="4">E6*1.05</f>
        <v>26.046562500000004</v>
      </c>
      <c r="H6" s="5">
        <f t="shared" si="3"/>
        <v>26.827959375000006</v>
      </c>
    </row>
    <row r="7" spans="1:8" x14ac:dyDescent="0.2">
      <c r="A7" s="81">
        <v>12</v>
      </c>
      <c r="B7" s="5">
        <f t="shared" si="0"/>
        <v>12.36</v>
      </c>
      <c r="C7" s="81">
        <f>A7*1.05</f>
        <v>12.600000000000001</v>
      </c>
      <c r="D7" s="5">
        <f t="shared" si="1"/>
        <v>12.978000000000002</v>
      </c>
      <c r="E7" s="81">
        <f>C7*1.05</f>
        <v>13.230000000000002</v>
      </c>
      <c r="F7" s="5">
        <f t="shared" si="2"/>
        <v>13.626900000000003</v>
      </c>
      <c r="G7" s="81">
        <f t="shared" si="4"/>
        <v>13.891500000000002</v>
      </c>
      <c r="H7" s="5">
        <f t="shared" si="3"/>
        <v>14.308245000000003</v>
      </c>
    </row>
    <row r="9" spans="1:8" x14ac:dyDescent="0.2">
      <c r="B9" s="5">
        <f>B2/24</f>
        <v>1646.58375</v>
      </c>
      <c r="C9" s="5">
        <f t="shared" ref="C9:H9" si="5">C2/24</f>
        <v>1689.9750000000001</v>
      </c>
      <c r="D9" s="5">
        <f t="shared" si="5"/>
        <v>1740.67425</v>
      </c>
      <c r="E9" s="5">
        <f t="shared" si="5"/>
        <v>1781.325</v>
      </c>
      <c r="F9" s="5">
        <f t="shared" si="5"/>
        <v>1834.7647500000003</v>
      </c>
      <c r="G9" s="5">
        <f t="shared" si="5"/>
        <v>1872.6750000000002</v>
      </c>
      <c r="H9" s="5">
        <f t="shared" si="5"/>
        <v>1928.8552500000003</v>
      </c>
    </row>
  </sheetData>
  <pageMargins left="0.7" right="0.7" top="0.75" bottom="0.75" header="0.3" footer="0.3"/>
  <pageSetup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B12" sqref="B12"/>
    </sheetView>
  </sheetViews>
  <sheetFormatPr defaultRowHeight="12.75" x14ac:dyDescent="0.2"/>
  <cols>
    <col min="1" max="1" width="10.42578125" bestFit="1" customWidth="1"/>
  </cols>
  <sheetData>
    <row r="1" spans="1:2" x14ac:dyDescent="0.2">
      <c r="A1" t="s">
        <v>305</v>
      </c>
    </row>
    <row r="2" spans="1:2" x14ac:dyDescent="0.2">
      <c r="A2" t="s">
        <v>306</v>
      </c>
      <c r="B2">
        <v>9</v>
      </c>
    </row>
    <row r="3" spans="1:2" x14ac:dyDescent="0.2">
      <c r="A3" t="s">
        <v>307</v>
      </c>
      <c r="B3">
        <f>B4/12</f>
        <v>39</v>
      </c>
    </row>
    <row r="4" spans="1:2" x14ac:dyDescent="0.2">
      <c r="A4" t="s">
        <v>308</v>
      </c>
      <c r="B4">
        <f>B2*52</f>
        <v>468</v>
      </c>
    </row>
    <row r="7" spans="1:2" x14ac:dyDescent="0.2">
      <c r="A7" t="s">
        <v>309</v>
      </c>
    </row>
    <row r="9" spans="1:2" x14ac:dyDescent="0.2">
      <c r="A9" t="s">
        <v>310</v>
      </c>
      <c r="B9">
        <v>120</v>
      </c>
    </row>
    <row r="10" spans="1:2" x14ac:dyDescent="0.2">
      <c r="A10" t="s">
        <v>311</v>
      </c>
      <c r="B10">
        <v>20</v>
      </c>
    </row>
    <row r="11" spans="1:2" x14ac:dyDescent="0.2">
      <c r="A11" t="s">
        <v>312</v>
      </c>
      <c r="B11">
        <f>B9*B10</f>
        <v>2400</v>
      </c>
    </row>
  </sheetData>
  <pageMargins left="0.7" right="0.7" top="0.75" bottom="0.75" header="0.3" footer="0.3"/>
  <pageSetup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D19" sqref="D19"/>
    </sheetView>
  </sheetViews>
  <sheetFormatPr defaultRowHeight="15" x14ac:dyDescent="0.25"/>
  <cols>
    <col min="1" max="1" width="9.140625" style="122"/>
    <col min="2" max="2" width="14.5703125" style="123" customWidth="1"/>
    <col min="3" max="4" width="9.140625" style="122"/>
    <col min="5" max="5" width="12.5703125" style="122" bestFit="1" customWidth="1"/>
    <col min="6" max="16384" width="9.140625" style="122"/>
  </cols>
  <sheetData>
    <row r="1" spans="1:5" x14ac:dyDescent="0.25">
      <c r="A1" s="122" t="s">
        <v>331</v>
      </c>
    </row>
    <row r="2" spans="1:5" x14ac:dyDescent="0.25">
      <c r="D2" s="122" t="s">
        <v>346</v>
      </c>
      <c r="E2" s="122" t="s">
        <v>347</v>
      </c>
    </row>
    <row r="3" spans="1:5" x14ac:dyDescent="0.25">
      <c r="A3" s="124" t="s">
        <v>332</v>
      </c>
      <c r="B3" s="125">
        <v>750</v>
      </c>
      <c r="E3" s="127">
        <f>D3*B3</f>
        <v>0</v>
      </c>
    </row>
    <row r="4" spans="1:5" x14ac:dyDescent="0.25">
      <c r="A4" s="124" t="s">
        <v>333</v>
      </c>
      <c r="B4" s="123">
        <v>787.46</v>
      </c>
      <c r="C4" s="126">
        <f>(+B4-B3)/B3</f>
        <v>4.9946666666666716E-2</v>
      </c>
      <c r="E4" s="127">
        <f t="shared" ref="E4:E16" si="0">D4*B4</f>
        <v>0</v>
      </c>
    </row>
    <row r="5" spans="1:5" x14ac:dyDescent="0.25">
      <c r="A5" s="124" t="s">
        <v>334</v>
      </c>
      <c r="B5" s="123">
        <v>801.26</v>
      </c>
      <c r="C5" s="126">
        <f t="shared" ref="C5:C16" si="1">(+B5-B4)/B4</f>
        <v>1.7524699667284628E-2</v>
      </c>
      <c r="E5" s="127">
        <f t="shared" si="0"/>
        <v>0</v>
      </c>
    </row>
    <row r="6" spans="1:5" x14ac:dyDescent="0.25">
      <c r="A6" s="124" t="s">
        <v>335</v>
      </c>
      <c r="B6" s="123">
        <v>817.26</v>
      </c>
      <c r="C6" s="126">
        <f t="shared" si="1"/>
        <v>1.9968549534483189E-2</v>
      </c>
      <c r="E6" s="127">
        <f t="shared" si="0"/>
        <v>0</v>
      </c>
    </row>
    <row r="7" spans="1:5" x14ac:dyDescent="0.25">
      <c r="A7" s="124" t="s">
        <v>336</v>
      </c>
      <c r="B7" s="123">
        <v>858.12</v>
      </c>
      <c r="C7" s="126">
        <f t="shared" si="1"/>
        <v>4.9996329197562604E-2</v>
      </c>
      <c r="E7" s="127">
        <f t="shared" si="0"/>
        <v>0</v>
      </c>
    </row>
    <row r="8" spans="1:5" x14ac:dyDescent="0.25">
      <c r="A8" s="124" t="s">
        <v>337</v>
      </c>
      <c r="B8" s="123">
        <v>875.28</v>
      </c>
      <c r="C8" s="126">
        <f t="shared" si="1"/>
        <v>1.9997203188365228E-2</v>
      </c>
      <c r="E8" s="127">
        <f t="shared" si="0"/>
        <v>0</v>
      </c>
    </row>
    <row r="9" spans="1:5" x14ac:dyDescent="0.25">
      <c r="A9" s="124" t="s">
        <v>338</v>
      </c>
      <c r="B9" s="123">
        <v>892.79</v>
      </c>
      <c r="C9" s="126">
        <f t="shared" si="1"/>
        <v>2.0005026962800466E-2</v>
      </c>
      <c r="E9" s="127">
        <f t="shared" si="0"/>
        <v>0</v>
      </c>
    </row>
    <row r="10" spans="1:5" x14ac:dyDescent="0.25">
      <c r="A10" s="124" t="s">
        <v>339</v>
      </c>
      <c r="B10" s="123">
        <v>910.65</v>
      </c>
      <c r="C10" s="126">
        <f t="shared" si="1"/>
        <v>2.000470435376742E-2</v>
      </c>
      <c r="E10" s="127">
        <f t="shared" si="0"/>
        <v>0</v>
      </c>
    </row>
    <row r="11" spans="1:5" x14ac:dyDescent="0.25">
      <c r="A11" s="124" t="s">
        <v>340</v>
      </c>
      <c r="B11" s="123">
        <v>928.86</v>
      </c>
      <c r="C11" s="126">
        <f t="shared" si="1"/>
        <v>1.9996705649810615E-2</v>
      </c>
      <c r="E11" s="127">
        <f t="shared" si="0"/>
        <v>0</v>
      </c>
    </row>
    <row r="12" spans="1:5" x14ac:dyDescent="0.25">
      <c r="A12" s="124" t="s">
        <v>341</v>
      </c>
      <c r="B12" s="123">
        <v>947.44</v>
      </c>
      <c r="C12" s="126">
        <f t="shared" si="1"/>
        <v>2.00030144478178E-2</v>
      </c>
      <c r="E12" s="127">
        <f t="shared" si="0"/>
        <v>0</v>
      </c>
    </row>
    <row r="13" spans="1:5" x14ac:dyDescent="0.25">
      <c r="A13" s="124" t="s">
        <v>342</v>
      </c>
      <c r="B13" s="123">
        <v>962.98</v>
      </c>
      <c r="C13" s="126">
        <f t="shared" si="1"/>
        <v>1.6402094064004013E-2</v>
      </c>
      <c r="E13" s="127">
        <f t="shared" si="0"/>
        <v>0</v>
      </c>
    </row>
    <row r="14" spans="1:5" x14ac:dyDescent="0.25">
      <c r="A14" s="124" t="s">
        <v>343</v>
      </c>
      <c r="B14" s="123">
        <v>982.24</v>
      </c>
      <c r="C14" s="126">
        <f t="shared" si="1"/>
        <v>2.0000415377266392E-2</v>
      </c>
      <c r="E14" s="127">
        <f t="shared" si="0"/>
        <v>0</v>
      </c>
    </row>
    <row r="15" spans="1:5" x14ac:dyDescent="0.25">
      <c r="A15" s="124" t="s">
        <v>344</v>
      </c>
      <c r="B15" s="123">
        <v>1001.88</v>
      </c>
      <c r="C15" s="126">
        <f t="shared" si="1"/>
        <v>1.999511321062061E-2</v>
      </c>
      <c r="D15" s="122">
        <v>560</v>
      </c>
      <c r="E15" s="127">
        <f t="shared" si="0"/>
        <v>561052.80000000005</v>
      </c>
    </row>
    <row r="16" spans="1:5" x14ac:dyDescent="0.25">
      <c r="A16" s="124" t="s">
        <v>345</v>
      </c>
      <c r="B16" s="123">
        <v>1021.92</v>
      </c>
      <c r="C16" s="126">
        <f t="shared" si="1"/>
        <v>2.0002395496466607E-2</v>
      </c>
      <c r="D16" s="122">
        <v>560</v>
      </c>
      <c r="E16" s="127">
        <f t="shared" si="0"/>
        <v>572275.19999999995</v>
      </c>
    </row>
  </sheetData>
  <pageMargins left="0.7" right="0.7" top="0.75" bottom="0.75" header="0.3" footer="0.3"/>
  <pageSetup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zoomScaleNormal="100" workbookViewId="0">
      <pane xSplit="11" ySplit="5" topLeftCell="L6" activePane="bottomRight" state="frozen"/>
      <selection pane="topRight" activeCell="H1" sqref="H1"/>
      <selection pane="bottomLeft" activeCell="A6" sqref="A6"/>
      <selection pane="bottomRight" activeCell="G20" sqref="G20"/>
    </sheetView>
  </sheetViews>
  <sheetFormatPr defaultRowHeight="12.75" x14ac:dyDescent="0.2"/>
  <cols>
    <col min="1" max="1" width="16.85546875" customWidth="1"/>
    <col min="2" max="2" width="14.140625" customWidth="1"/>
    <col min="3" max="3" width="11.5703125" customWidth="1"/>
    <col min="4" max="4" width="9" style="86" customWidth="1"/>
    <col min="5" max="5" width="8.85546875" style="86" customWidth="1"/>
    <col min="6" max="6" width="11" style="86" customWidth="1"/>
    <col min="7" max="7" width="9.7109375" style="86" customWidth="1"/>
    <col min="8" max="8" width="9.42578125" style="86" customWidth="1"/>
    <col min="9" max="9" width="11.7109375" style="86" customWidth="1"/>
    <col min="10" max="11" width="11.85546875" style="86" customWidth="1"/>
    <col min="12" max="12" width="11.140625" style="86" customWidth="1"/>
    <col min="13" max="13" width="10.85546875" style="86" customWidth="1"/>
    <col min="14" max="14" width="9.140625" style="86" customWidth="1"/>
    <col min="15" max="15" width="9.7109375" style="86" customWidth="1"/>
    <col min="16" max="16" width="10.85546875" style="86" customWidth="1"/>
    <col min="17" max="17" width="12.42578125" style="86" customWidth="1"/>
    <col min="18" max="18" width="13.5703125" customWidth="1"/>
    <col min="19" max="19" width="11.28515625" style="86" customWidth="1"/>
    <col min="20" max="20" width="11.28515625" bestFit="1" customWidth="1"/>
    <col min="257" max="257" width="16.85546875" customWidth="1"/>
    <col min="258" max="258" width="14.140625" customWidth="1"/>
    <col min="259" max="259" width="11.5703125" customWidth="1"/>
    <col min="260" max="260" width="9" customWidth="1"/>
    <col min="261" max="261" width="8.85546875" customWidth="1"/>
    <col min="262" max="262" width="11" customWidth="1"/>
    <col min="263" max="263" width="9.7109375" customWidth="1"/>
    <col min="264" max="264" width="9.42578125" customWidth="1"/>
    <col min="265" max="265" width="11.7109375" customWidth="1"/>
    <col min="266" max="267" width="11.85546875" customWidth="1"/>
    <col min="268" max="268" width="11.140625" customWidth="1"/>
    <col min="269" max="269" width="10.85546875" customWidth="1"/>
    <col min="270" max="270" width="9.140625" customWidth="1"/>
    <col min="271" max="271" width="9.7109375" customWidth="1"/>
    <col min="272" max="272" width="10.85546875" customWidth="1"/>
    <col min="273" max="273" width="12.42578125" customWidth="1"/>
    <col min="274" max="274" width="13.5703125" customWidth="1"/>
    <col min="275" max="275" width="11.28515625" customWidth="1"/>
    <col min="276" max="276" width="11.28515625" bestFit="1" customWidth="1"/>
    <col min="513" max="513" width="16.85546875" customWidth="1"/>
    <col min="514" max="514" width="14.140625" customWidth="1"/>
    <col min="515" max="515" width="11.5703125" customWidth="1"/>
    <col min="516" max="516" width="9" customWidth="1"/>
    <col min="517" max="517" width="8.85546875" customWidth="1"/>
    <col min="518" max="518" width="11" customWidth="1"/>
    <col min="519" max="519" width="9.7109375" customWidth="1"/>
    <col min="520" max="520" width="9.42578125" customWidth="1"/>
    <col min="521" max="521" width="11.7109375" customWidth="1"/>
    <col min="522" max="523" width="11.85546875" customWidth="1"/>
    <col min="524" max="524" width="11.140625" customWidth="1"/>
    <col min="525" max="525" width="10.85546875" customWidth="1"/>
    <col min="526" max="526" width="9.140625" customWidth="1"/>
    <col min="527" max="527" width="9.7109375" customWidth="1"/>
    <col min="528" max="528" width="10.85546875" customWidth="1"/>
    <col min="529" max="529" width="12.42578125" customWidth="1"/>
    <col min="530" max="530" width="13.5703125" customWidth="1"/>
    <col min="531" max="531" width="11.28515625" customWidth="1"/>
    <col min="532" max="532" width="11.28515625" bestFit="1" customWidth="1"/>
    <col min="769" max="769" width="16.85546875" customWidth="1"/>
    <col min="770" max="770" width="14.140625" customWidth="1"/>
    <col min="771" max="771" width="11.5703125" customWidth="1"/>
    <col min="772" max="772" width="9" customWidth="1"/>
    <col min="773" max="773" width="8.85546875" customWidth="1"/>
    <col min="774" max="774" width="11" customWidth="1"/>
    <col min="775" max="775" width="9.7109375" customWidth="1"/>
    <col min="776" max="776" width="9.42578125" customWidth="1"/>
    <col min="777" max="777" width="11.7109375" customWidth="1"/>
    <col min="778" max="779" width="11.85546875" customWidth="1"/>
    <col min="780" max="780" width="11.140625" customWidth="1"/>
    <col min="781" max="781" width="10.85546875" customWidth="1"/>
    <col min="782" max="782" width="9.140625" customWidth="1"/>
    <col min="783" max="783" width="9.7109375" customWidth="1"/>
    <col min="784" max="784" width="10.85546875" customWidth="1"/>
    <col min="785" max="785" width="12.42578125" customWidth="1"/>
    <col min="786" max="786" width="13.5703125" customWidth="1"/>
    <col min="787" max="787" width="11.28515625" customWidth="1"/>
    <col min="788" max="788" width="11.28515625" bestFit="1" customWidth="1"/>
    <col min="1025" max="1025" width="16.85546875" customWidth="1"/>
    <col min="1026" max="1026" width="14.140625" customWidth="1"/>
    <col min="1027" max="1027" width="11.5703125" customWidth="1"/>
    <col min="1028" max="1028" width="9" customWidth="1"/>
    <col min="1029" max="1029" width="8.85546875" customWidth="1"/>
    <col min="1030" max="1030" width="11" customWidth="1"/>
    <col min="1031" max="1031" width="9.7109375" customWidth="1"/>
    <col min="1032" max="1032" width="9.42578125" customWidth="1"/>
    <col min="1033" max="1033" width="11.7109375" customWidth="1"/>
    <col min="1034" max="1035" width="11.85546875" customWidth="1"/>
    <col min="1036" max="1036" width="11.140625" customWidth="1"/>
    <col min="1037" max="1037" width="10.85546875" customWidth="1"/>
    <col min="1038" max="1038" width="9.140625" customWidth="1"/>
    <col min="1039" max="1039" width="9.7109375" customWidth="1"/>
    <col min="1040" max="1040" width="10.85546875" customWidth="1"/>
    <col min="1041" max="1041" width="12.42578125" customWidth="1"/>
    <col min="1042" max="1042" width="13.5703125" customWidth="1"/>
    <col min="1043" max="1043" width="11.28515625" customWidth="1"/>
    <col min="1044" max="1044" width="11.28515625" bestFit="1" customWidth="1"/>
    <col min="1281" max="1281" width="16.85546875" customWidth="1"/>
    <col min="1282" max="1282" width="14.140625" customWidth="1"/>
    <col min="1283" max="1283" width="11.5703125" customWidth="1"/>
    <col min="1284" max="1284" width="9" customWidth="1"/>
    <col min="1285" max="1285" width="8.85546875" customWidth="1"/>
    <col min="1286" max="1286" width="11" customWidth="1"/>
    <col min="1287" max="1287" width="9.7109375" customWidth="1"/>
    <col min="1288" max="1288" width="9.42578125" customWidth="1"/>
    <col min="1289" max="1289" width="11.7109375" customWidth="1"/>
    <col min="1290" max="1291" width="11.85546875" customWidth="1"/>
    <col min="1292" max="1292" width="11.140625" customWidth="1"/>
    <col min="1293" max="1293" width="10.85546875" customWidth="1"/>
    <col min="1294" max="1294" width="9.140625" customWidth="1"/>
    <col min="1295" max="1295" width="9.7109375" customWidth="1"/>
    <col min="1296" max="1296" width="10.85546875" customWidth="1"/>
    <col min="1297" max="1297" width="12.42578125" customWidth="1"/>
    <col min="1298" max="1298" width="13.5703125" customWidth="1"/>
    <col min="1299" max="1299" width="11.28515625" customWidth="1"/>
    <col min="1300" max="1300" width="11.28515625" bestFit="1" customWidth="1"/>
    <col min="1537" max="1537" width="16.85546875" customWidth="1"/>
    <col min="1538" max="1538" width="14.140625" customWidth="1"/>
    <col min="1539" max="1539" width="11.5703125" customWidth="1"/>
    <col min="1540" max="1540" width="9" customWidth="1"/>
    <col min="1541" max="1541" width="8.85546875" customWidth="1"/>
    <col min="1542" max="1542" width="11" customWidth="1"/>
    <col min="1543" max="1543" width="9.7109375" customWidth="1"/>
    <col min="1544" max="1544" width="9.42578125" customWidth="1"/>
    <col min="1545" max="1545" width="11.7109375" customWidth="1"/>
    <col min="1546" max="1547" width="11.85546875" customWidth="1"/>
    <col min="1548" max="1548" width="11.140625" customWidth="1"/>
    <col min="1549" max="1549" width="10.85546875" customWidth="1"/>
    <col min="1550" max="1550" width="9.140625" customWidth="1"/>
    <col min="1551" max="1551" width="9.7109375" customWidth="1"/>
    <col min="1552" max="1552" width="10.85546875" customWidth="1"/>
    <col min="1553" max="1553" width="12.42578125" customWidth="1"/>
    <col min="1554" max="1554" width="13.5703125" customWidth="1"/>
    <col min="1555" max="1555" width="11.28515625" customWidth="1"/>
    <col min="1556" max="1556" width="11.28515625" bestFit="1" customWidth="1"/>
    <col min="1793" max="1793" width="16.85546875" customWidth="1"/>
    <col min="1794" max="1794" width="14.140625" customWidth="1"/>
    <col min="1795" max="1795" width="11.5703125" customWidth="1"/>
    <col min="1796" max="1796" width="9" customWidth="1"/>
    <col min="1797" max="1797" width="8.85546875" customWidth="1"/>
    <col min="1798" max="1798" width="11" customWidth="1"/>
    <col min="1799" max="1799" width="9.7109375" customWidth="1"/>
    <col min="1800" max="1800" width="9.42578125" customWidth="1"/>
    <col min="1801" max="1801" width="11.7109375" customWidth="1"/>
    <col min="1802" max="1803" width="11.85546875" customWidth="1"/>
    <col min="1804" max="1804" width="11.140625" customWidth="1"/>
    <col min="1805" max="1805" width="10.85546875" customWidth="1"/>
    <col min="1806" max="1806" width="9.140625" customWidth="1"/>
    <col min="1807" max="1807" width="9.7109375" customWidth="1"/>
    <col min="1808" max="1808" width="10.85546875" customWidth="1"/>
    <col min="1809" max="1809" width="12.42578125" customWidth="1"/>
    <col min="1810" max="1810" width="13.5703125" customWidth="1"/>
    <col min="1811" max="1811" width="11.28515625" customWidth="1"/>
    <col min="1812" max="1812" width="11.28515625" bestFit="1" customWidth="1"/>
    <col min="2049" max="2049" width="16.85546875" customWidth="1"/>
    <col min="2050" max="2050" width="14.140625" customWidth="1"/>
    <col min="2051" max="2051" width="11.5703125" customWidth="1"/>
    <col min="2052" max="2052" width="9" customWidth="1"/>
    <col min="2053" max="2053" width="8.85546875" customWidth="1"/>
    <col min="2054" max="2054" width="11" customWidth="1"/>
    <col min="2055" max="2055" width="9.7109375" customWidth="1"/>
    <col min="2056" max="2056" width="9.42578125" customWidth="1"/>
    <col min="2057" max="2057" width="11.7109375" customWidth="1"/>
    <col min="2058" max="2059" width="11.85546875" customWidth="1"/>
    <col min="2060" max="2060" width="11.140625" customWidth="1"/>
    <col min="2061" max="2061" width="10.85546875" customWidth="1"/>
    <col min="2062" max="2062" width="9.140625" customWidth="1"/>
    <col min="2063" max="2063" width="9.7109375" customWidth="1"/>
    <col min="2064" max="2064" width="10.85546875" customWidth="1"/>
    <col min="2065" max="2065" width="12.42578125" customWidth="1"/>
    <col min="2066" max="2066" width="13.5703125" customWidth="1"/>
    <col min="2067" max="2067" width="11.28515625" customWidth="1"/>
    <col min="2068" max="2068" width="11.28515625" bestFit="1" customWidth="1"/>
    <col min="2305" max="2305" width="16.85546875" customWidth="1"/>
    <col min="2306" max="2306" width="14.140625" customWidth="1"/>
    <col min="2307" max="2307" width="11.5703125" customWidth="1"/>
    <col min="2308" max="2308" width="9" customWidth="1"/>
    <col min="2309" max="2309" width="8.85546875" customWidth="1"/>
    <col min="2310" max="2310" width="11" customWidth="1"/>
    <col min="2311" max="2311" width="9.7109375" customWidth="1"/>
    <col min="2312" max="2312" width="9.42578125" customWidth="1"/>
    <col min="2313" max="2313" width="11.7109375" customWidth="1"/>
    <col min="2314" max="2315" width="11.85546875" customWidth="1"/>
    <col min="2316" max="2316" width="11.140625" customWidth="1"/>
    <col min="2317" max="2317" width="10.85546875" customWidth="1"/>
    <col min="2318" max="2318" width="9.140625" customWidth="1"/>
    <col min="2319" max="2319" width="9.7109375" customWidth="1"/>
    <col min="2320" max="2320" width="10.85546875" customWidth="1"/>
    <col min="2321" max="2321" width="12.42578125" customWidth="1"/>
    <col min="2322" max="2322" width="13.5703125" customWidth="1"/>
    <col min="2323" max="2323" width="11.28515625" customWidth="1"/>
    <col min="2324" max="2324" width="11.28515625" bestFit="1" customWidth="1"/>
    <col min="2561" max="2561" width="16.85546875" customWidth="1"/>
    <col min="2562" max="2562" width="14.140625" customWidth="1"/>
    <col min="2563" max="2563" width="11.5703125" customWidth="1"/>
    <col min="2564" max="2564" width="9" customWidth="1"/>
    <col min="2565" max="2565" width="8.85546875" customWidth="1"/>
    <col min="2566" max="2566" width="11" customWidth="1"/>
    <col min="2567" max="2567" width="9.7109375" customWidth="1"/>
    <col min="2568" max="2568" width="9.42578125" customWidth="1"/>
    <col min="2569" max="2569" width="11.7109375" customWidth="1"/>
    <col min="2570" max="2571" width="11.85546875" customWidth="1"/>
    <col min="2572" max="2572" width="11.140625" customWidth="1"/>
    <col min="2573" max="2573" width="10.85546875" customWidth="1"/>
    <col min="2574" max="2574" width="9.140625" customWidth="1"/>
    <col min="2575" max="2575" width="9.7109375" customWidth="1"/>
    <col min="2576" max="2576" width="10.85546875" customWidth="1"/>
    <col min="2577" max="2577" width="12.42578125" customWidth="1"/>
    <col min="2578" max="2578" width="13.5703125" customWidth="1"/>
    <col min="2579" max="2579" width="11.28515625" customWidth="1"/>
    <col min="2580" max="2580" width="11.28515625" bestFit="1" customWidth="1"/>
    <col min="2817" max="2817" width="16.85546875" customWidth="1"/>
    <col min="2818" max="2818" width="14.140625" customWidth="1"/>
    <col min="2819" max="2819" width="11.5703125" customWidth="1"/>
    <col min="2820" max="2820" width="9" customWidth="1"/>
    <col min="2821" max="2821" width="8.85546875" customWidth="1"/>
    <col min="2822" max="2822" width="11" customWidth="1"/>
    <col min="2823" max="2823" width="9.7109375" customWidth="1"/>
    <col min="2824" max="2824" width="9.42578125" customWidth="1"/>
    <col min="2825" max="2825" width="11.7109375" customWidth="1"/>
    <col min="2826" max="2827" width="11.85546875" customWidth="1"/>
    <col min="2828" max="2828" width="11.140625" customWidth="1"/>
    <col min="2829" max="2829" width="10.85546875" customWidth="1"/>
    <col min="2830" max="2830" width="9.140625" customWidth="1"/>
    <col min="2831" max="2831" width="9.7109375" customWidth="1"/>
    <col min="2832" max="2832" width="10.85546875" customWidth="1"/>
    <col min="2833" max="2833" width="12.42578125" customWidth="1"/>
    <col min="2834" max="2834" width="13.5703125" customWidth="1"/>
    <col min="2835" max="2835" width="11.28515625" customWidth="1"/>
    <col min="2836" max="2836" width="11.28515625" bestFit="1" customWidth="1"/>
    <col min="3073" max="3073" width="16.85546875" customWidth="1"/>
    <col min="3074" max="3074" width="14.140625" customWidth="1"/>
    <col min="3075" max="3075" width="11.5703125" customWidth="1"/>
    <col min="3076" max="3076" width="9" customWidth="1"/>
    <col min="3077" max="3077" width="8.85546875" customWidth="1"/>
    <col min="3078" max="3078" width="11" customWidth="1"/>
    <col min="3079" max="3079" width="9.7109375" customWidth="1"/>
    <col min="3080" max="3080" width="9.42578125" customWidth="1"/>
    <col min="3081" max="3081" width="11.7109375" customWidth="1"/>
    <col min="3082" max="3083" width="11.85546875" customWidth="1"/>
    <col min="3084" max="3084" width="11.140625" customWidth="1"/>
    <col min="3085" max="3085" width="10.85546875" customWidth="1"/>
    <col min="3086" max="3086" width="9.140625" customWidth="1"/>
    <col min="3087" max="3087" width="9.7109375" customWidth="1"/>
    <col min="3088" max="3088" width="10.85546875" customWidth="1"/>
    <col min="3089" max="3089" width="12.42578125" customWidth="1"/>
    <col min="3090" max="3090" width="13.5703125" customWidth="1"/>
    <col min="3091" max="3091" width="11.28515625" customWidth="1"/>
    <col min="3092" max="3092" width="11.28515625" bestFit="1" customWidth="1"/>
    <col min="3329" max="3329" width="16.85546875" customWidth="1"/>
    <col min="3330" max="3330" width="14.140625" customWidth="1"/>
    <col min="3331" max="3331" width="11.5703125" customWidth="1"/>
    <col min="3332" max="3332" width="9" customWidth="1"/>
    <col min="3333" max="3333" width="8.85546875" customWidth="1"/>
    <col min="3334" max="3334" width="11" customWidth="1"/>
    <col min="3335" max="3335" width="9.7109375" customWidth="1"/>
    <col min="3336" max="3336" width="9.42578125" customWidth="1"/>
    <col min="3337" max="3337" width="11.7109375" customWidth="1"/>
    <col min="3338" max="3339" width="11.85546875" customWidth="1"/>
    <col min="3340" max="3340" width="11.140625" customWidth="1"/>
    <col min="3341" max="3341" width="10.85546875" customWidth="1"/>
    <col min="3342" max="3342" width="9.140625" customWidth="1"/>
    <col min="3343" max="3343" width="9.7109375" customWidth="1"/>
    <col min="3344" max="3344" width="10.85546875" customWidth="1"/>
    <col min="3345" max="3345" width="12.42578125" customWidth="1"/>
    <col min="3346" max="3346" width="13.5703125" customWidth="1"/>
    <col min="3347" max="3347" width="11.28515625" customWidth="1"/>
    <col min="3348" max="3348" width="11.28515625" bestFit="1" customWidth="1"/>
    <col min="3585" max="3585" width="16.85546875" customWidth="1"/>
    <col min="3586" max="3586" width="14.140625" customWidth="1"/>
    <col min="3587" max="3587" width="11.5703125" customWidth="1"/>
    <col min="3588" max="3588" width="9" customWidth="1"/>
    <col min="3589" max="3589" width="8.85546875" customWidth="1"/>
    <col min="3590" max="3590" width="11" customWidth="1"/>
    <col min="3591" max="3591" width="9.7109375" customWidth="1"/>
    <col min="3592" max="3592" width="9.42578125" customWidth="1"/>
    <col min="3593" max="3593" width="11.7109375" customWidth="1"/>
    <col min="3594" max="3595" width="11.85546875" customWidth="1"/>
    <col min="3596" max="3596" width="11.140625" customWidth="1"/>
    <col min="3597" max="3597" width="10.85546875" customWidth="1"/>
    <col min="3598" max="3598" width="9.140625" customWidth="1"/>
    <col min="3599" max="3599" width="9.7109375" customWidth="1"/>
    <col min="3600" max="3600" width="10.85546875" customWidth="1"/>
    <col min="3601" max="3601" width="12.42578125" customWidth="1"/>
    <col min="3602" max="3602" width="13.5703125" customWidth="1"/>
    <col min="3603" max="3603" width="11.28515625" customWidth="1"/>
    <col min="3604" max="3604" width="11.28515625" bestFit="1" customWidth="1"/>
    <col min="3841" max="3841" width="16.85546875" customWidth="1"/>
    <col min="3842" max="3842" width="14.140625" customWidth="1"/>
    <col min="3843" max="3843" width="11.5703125" customWidth="1"/>
    <col min="3844" max="3844" width="9" customWidth="1"/>
    <col min="3845" max="3845" width="8.85546875" customWidth="1"/>
    <col min="3846" max="3846" width="11" customWidth="1"/>
    <col min="3847" max="3847" width="9.7109375" customWidth="1"/>
    <col min="3848" max="3848" width="9.42578125" customWidth="1"/>
    <col min="3849" max="3849" width="11.7109375" customWidth="1"/>
    <col min="3850" max="3851" width="11.85546875" customWidth="1"/>
    <col min="3852" max="3852" width="11.140625" customWidth="1"/>
    <col min="3853" max="3853" width="10.85546875" customWidth="1"/>
    <col min="3854" max="3854" width="9.140625" customWidth="1"/>
    <col min="3855" max="3855" width="9.7109375" customWidth="1"/>
    <col min="3856" max="3856" width="10.85546875" customWidth="1"/>
    <col min="3857" max="3857" width="12.42578125" customWidth="1"/>
    <col min="3858" max="3858" width="13.5703125" customWidth="1"/>
    <col min="3859" max="3859" width="11.28515625" customWidth="1"/>
    <col min="3860" max="3860" width="11.28515625" bestFit="1" customWidth="1"/>
    <col min="4097" max="4097" width="16.85546875" customWidth="1"/>
    <col min="4098" max="4098" width="14.140625" customWidth="1"/>
    <col min="4099" max="4099" width="11.5703125" customWidth="1"/>
    <col min="4100" max="4100" width="9" customWidth="1"/>
    <col min="4101" max="4101" width="8.85546875" customWidth="1"/>
    <col min="4102" max="4102" width="11" customWidth="1"/>
    <col min="4103" max="4103" width="9.7109375" customWidth="1"/>
    <col min="4104" max="4104" width="9.42578125" customWidth="1"/>
    <col min="4105" max="4105" width="11.7109375" customWidth="1"/>
    <col min="4106" max="4107" width="11.85546875" customWidth="1"/>
    <col min="4108" max="4108" width="11.140625" customWidth="1"/>
    <col min="4109" max="4109" width="10.85546875" customWidth="1"/>
    <col min="4110" max="4110" width="9.140625" customWidth="1"/>
    <col min="4111" max="4111" width="9.7109375" customWidth="1"/>
    <col min="4112" max="4112" width="10.85546875" customWidth="1"/>
    <col min="4113" max="4113" width="12.42578125" customWidth="1"/>
    <col min="4114" max="4114" width="13.5703125" customWidth="1"/>
    <col min="4115" max="4115" width="11.28515625" customWidth="1"/>
    <col min="4116" max="4116" width="11.28515625" bestFit="1" customWidth="1"/>
    <col min="4353" max="4353" width="16.85546875" customWidth="1"/>
    <col min="4354" max="4354" width="14.140625" customWidth="1"/>
    <col min="4355" max="4355" width="11.5703125" customWidth="1"/>
    <col min="4356" max="4356" width="9" customWidth="1"/>
    <col min="4357" max="4357" width="8.85546875" customWidth="1"/>
    <col min="4358" max="4358" width="11" customWidth="1"/>
    <col min="4359" max="4359" width="9.7109375" customWidth="1"/>
    <col min="4360" max="4360" width="9.42578125" customWidth="1"/>
    <col min="4361" max="4361" width="11.7109375" customWidth="1"/>
    <col min="4362" max="4363" width="11.85546875" customWidth="1"/>
    <col min="4364" max="4364" width="11.140625" customWidth="1"/>
    <col min="4365" max="4365" width="10.85546875" customWidth="1"/>
    <col min="4366" max="4366" width="9.140625" customWidth="1"/>
    <col min="4367" max="4367" width="9.7109375" customWidth="1"/>
    <col min="4368" max="4368" width="10.85546875" customWidth="1"/>
    <col min="4369" max="4369" width="12.42578125" customWidth="1"/>
    <col min="4370" max="4370" width="13.5703125" customWidth="1"/>
    <col min="4371" max="4371" width="11.28515625" customWidth="1"/>
    <col min="4372" max="4372" width="11.28515625" bestFit="1" customWidth="1"/>
    <col min="4609" max="4609" width="16.85546875" customWidth="1"/>
    <col min="4610" max="4610" width="14.140625" customWidth="1"/>
    <col min="4611" max="4611" width="11.5703125" customWidth="1"/>
    <col min="4612" max="4612" width="9" customWidth="1"/>
    <col min="4613" max="4613" width="8.85546875" customWidth="1"/>
    <col min="4614" max="4614" width="11" customWidth="1"/>
    <col min="4615" max="4615" width="9.7109375" customWidth="1"/>
    <col min="4616" max="4616" width="9.42578125" customWidth="1"/>
    <col min="4617" max="4617" width="11.7109375" customWidth="1"/>
    <col min="4618" max="4619" width="11.85546875" customWidth="1"/>
    <col min="4620" max="4620" width="11.140625" customWidth="1"/>
    <col min="4621" max="4621" width="10.85546875" customWidth="1"/>
    <col min="4622" max="4622" width="9.140625" customWidth="1"/>
    <col min="4623" max="4623" width="9.7109375" customWidth="1"/>
    <col min="4624" max="4624" width="10.85546875" customWidth="1"/>
    <col min="4625" max="4625" width="12.42578125" customWidth="1"/>
    <col min="4626" max="4626" width="13.5703125" customWidth="1"/>
    <col min="4627" max="4627" width="11.28515625" customWidth="1"/>
    <col min="4628" max="4628" width="11.28515625" bestFit="1" customWidth="1"/>
    <col min="4865" max="4865" width="16.85546875" customWidth="1"/>
    <col min="4866" max="4866" width="14.140625" customWidth="1"/>
    <col min="4867" max="4867" width="11.5703125" customWidth="1"/>
    <col min="4868" max="4868" width="9" customWidth="1"/>
    <col min="4869" max="4869" width="8.85546875" customWidth="1"/>
    <col min="4870" max="4870" width="11" customWidth="1"/>
    <col min="4871" max="4871" width="9.7109375" customWidth="1"/>
    <col min="4872" max="4872" width="9.42578125" customWidth="1"/>
    <col min="4873" max="4873" width="11.7109375" customWidth="1"/>
    <col min="4874" max="4875" width="11.85546875" customWidth="1"/>
    <col min="4876" max="4876" width="11.140625" customWidth="1"/>
    <col min="4877" max="4877" width="10.85546875" customWidth="1"/>
    <col min="4878" max="4878" width="9.140625" customWidth="1"/>
    <col min="4879" max="4879" width="9.7109375" customWidth="1"/>
    <col min="4880" max="4880" width="10.85546875" customWidth="1"/>
    <col min="4881" max="4881" width="12.42578125" customWidth="1"/>
    <col min="4882" max="4882" width="13.5703125" customWidth="1"/>
    <col min="4883" max="4883" width="11.28515625" customWidth="1"/>
    <col min="4884" max="4884" width="11.28515625" bestFit="1" customWidth="1"/>
    <col min="5121" max="5121" width="16.85546875" customWidth="1"/>
    <col min="5122" max="5122" width="14.140625" customWidth="1"/>
    <col min="5123" max="5123" width="11.5703125" customWidth="1"/>
    <col min="5124" max="5124" width="9" customWidth="1"/>
    <col min="5125" max="5125" width="8.85546875" customWidth="1"/>
    <col min="5126" max="5126" width="11" customWidth="1"/>
    <col min="5127" max="5127" width="9.7109375" customWidth="1"/>
    <col min="5128" max="5128" width="9.42578125" customWidth="1"/>
    <col min="5129" max="5129" width="11.7109375" customWidth="1"/>
    <col min="5130" max="5131" width="11.85546875" customWidth="1"/>
    <col min="5132" max="5132" width="11.140625" customWidth="1"/>
    <col min="5133" max="5133" width="10.85546875" customWidth="1"/>
    <col min="5134" max="5134" width="9.140625" customWidth="1"/>
    <col min="5135" max="5135" width="9.7109375" customWidth="1"/>
    <col min="5136" max="5136" width="10.85546875" customWidth="1"/>
    <col min="5137" max="5137" width="12.42578125" customWidth="1"/>
    <col min="5138" max="5138" width="13.5703125" customWidth="1"/>
    <col min="5139" max="5139" width="11.28515625" customWidth="1"/>
    <col min="5140" max="5140" width="11.28515625" bestFit="1" customWidth="1"/>
    <col min="5377" max="5377" width="16.85546875" customWidth="1"/>
    <col min="5378" max="5378" width="14.140625" customWidth="1"/>
    <col min="5379" max="5379" width="11.5703125" customWidth="1"/>
    <col min="5380" max="5380" width="9" customWidth="1"/>
    <col min="5381" max="5381" width="8.85546875" customWidth="1"/>
    <col min="5382" max="5382" width="11" customWidth="1"/>
    <col min="5383" max="5383" width="9.7109375" customWidth="1"/>
    <col min="5384" max="5384" width="9.42578125" customWidth="1"/>
    <col min="5385" max="5385" width="11.7109375" customWidth="1"/>
    <col min="5386" max="5387" width="11.85546875" customWidth="1"/>
    <col min="5388" max="5388" width="11.140625" customWidth="1"/>
    <col min="5389" max="5389" width="10.85546875" customWidth="1"/>
    <col min="5390" max="5390" width="9.140625" customWidth="1"/>
    <col min="5391" max="5391" width="9.7109375" customWidth="1"/>
    <col min="5392" max="5392" width="10.85546875" customWidth="1"/>
    <col min="5393" max="5393" width="12.42578125" customWidth="1"/>
    <col min="5394" max="5394" width="13.5703125" customWidth="1"/>
    <col min="5395" max="5395" width="11.28515625" customWidth="1"/>
    <col min="5396" max="5396" width="11.28515625" bestFit="1" customWidth="1"/>
    <col min="5633" max="5633" width="16.85546875" customWidth="1"/>
    <col min="5634" max="5634" width="14.140625" customWidth="1"/>
    <col min="5635" max="5635" width="11.5703125" customWidth="1"/>
    <col min="5636" max="5636" width="9" customWidth="1"/>
    <col min="5637" max="5637" width="8.85546875" customWidth="1"/>
    <col min="5638" max="5638" width="11" customWidth="1"/>
    <col min="5639" max="5639" width="9.7109375" customWidth="1"/>
    <col min="5640" max="5640" width="9.42578125" customWidth="1"/>
    <col min="5641" max="5641" width="11.7109375" customWidth="1"/>
    <col min="5642" max="5643" width="11.85546875" customWidth="1"/>
    <col min="5644" max="5644" width="11.140625" customWidth="1"/>
    <col min="5645" max="5645" width="10.85546875" customWidth="1"/>
    <col min="5646" max="5646" width="9.140625" customWidth="1"/>
    <col min="5647" max="5647" width="9.7109375" customWidth="1"/>
    <col min="5648" max="5648" width="10.85546875" customWidth="1"/>
    <col min="5649" max="5649" width="12.42578125" customWidth="1"/>
    <col min="5650" max="5650" width="13.5703125" customWidth="1"/>
    <col min="5651" max="5651" width="11.28515625" customWidth="1"/>
    <col min="5652" max="5652" width="11.28515625" bestFit="1" customWidth="1"/>
    <col min="5889" max="5889" width="16.85546875" customWidth="1"/>
    <col min="5890" max="5890" width="14.140625" customWidth="1"/>
    <col min="5891" max="5891" width="11.5703125" customWidth="1"/>
    <col min="5892" max="5892" width="9" customWidth="1"/>
    <col min="5893" max="5893" width="8.85546875" customWidth="1"/>
    <col min="5894" max="5894" width="11" customWidth="1"/>
    <col min="5895" max="5895" width="9.7109375" customWidth="1"/>
    <col min="5896" max="5896" width="9.42578125" customWidth="1"/>
    <col min="5897" max="5897" width="11.7109375" customWidth="1"/>
    <col min="5898" max="5899" width="11.85546875" customWidth="1"/>
    <col min="5900" max="5900" width="11.140625" customWidth="1"/>
    <col min="5901" max="5901" width="10.85546875" customWidth="1"/>
    <col min="5902" max="5902" width="9.140625" customWidth="1"/>
    <col min="5903" max="5903" width="9.7109375" customWidth="1"/>
    <col min="5904" max="5904" width="10.85546875" customWidth="1"/>
    <col min="5905" max="5905" width="12.42578125" customWidth="1"/>
    <col min="5906" max="5906" width="13.5703125" customWidth="1"/>
    <col min="5907" max="5907" width="11.28515625" customWidth="1"/>
    <col min="5908" max="5908" width="11.28515625" bestFit="1" customWidth="1"/>
    <col min="6145" max="6145" width="16.85546875" customWidth="1"/>
    <col min="6146" max="6146" width="14.140625" customWidth="1"/>
    <col min="6147" max="6147" width="11.5703125" customWidth="1"/>
    <col min="6148" max="6148" width="9" customWidth="1"/>
    <col min="6149" max="6149" width="8.85546875" customWidth="1"/>
    <col min="6150" max="6150" width="11" customWidth="1"/>
    <col min="6151" max="6151" width="9.7109375" customWidth="1"/>
    <col min="6152" max="6152" width="9.42578125" customWidth="1"/>
    <col min="6153" max="6153" width="11.7109375" customWidth="1"/>
    <col min="6154" max="6155" width="11.85546875" customWidth="1"/>
    <col min="6156" max="6156" width="11.140625" customWidth="1"/>
    <col min="6157" max="6157" width="10.85546875" customWidth="1"/>
    <col min="6158" max="6158" width="9.140625" customWidth="1"/>
    <col min="6159" max="6159" width="9.7109375" customWidth="1"/>
    <col min="6160" max="6160" width="10.85546875" customWidth="1"/>
    <col min="6161" max="6161" width="12.42578125" customWidth="1"/>
    <col min="6162" max="6162" width="13.5703125" customWidth="1"/>
    <col min="6163" max="6163" width="11.28515625" customWidth="1"/>
    <col min="6164" max="6164" width="11.28515625" bestFit="1" customWidth="1"/>
    <col min="6401" max="6401" width="16.85546875" customWidth="1"/>
    <col min="6402" max="6402" width="14.140625" customWidth="1"/>
    <col min="6403" max="6403" width="11.5703125" customWidth="1"/>
    <col min="6404" max="6404" width="9" customWidth="1"/>
    <col min="6405" max="6405" width="8.85546875" customWidth="1"/>
    <col min="6406" max="6406" width="11" customWidth="1"/>
    <col min="6407" max="6407" width="9.7109375" customWidth="1"/>
    <col min="6408" max="6408" width="9.42578125" customWidth="1"/>
    <col min="6409" max="6409" width="11.7109375" customWidth="1"/>
    <col min="6410" max="6411" width="11.85546875" customWidth="1"/>
    <col min="6412" max="6412" width="11.140625" customWidth="1"/>
    <col min="6413" max="6413" width="10.85546875" customWidth="1"/>
    <col min="6414" max="6414" width="9.140625" customWidth="1"/>
    <col min="6415" max="6415" width="9.7109375" customWidth="1"/>
    <col min="6416" max="6416" width="10.85546875" customWidth="1"/>
    <col min="6417" max="6417" width="12.42578125" customWidth="1"/>
    <col min="6418" max="6418" width="13.5703125" customWidth="1"/>
    <col min="6419" max="6419" width="11.28515625" customWidth="1"/>
    <col min="6420" max="6420" width="11.28515625" bestFit="1" customWidth="1"/>
    <col min="6657" max="6657" width="16.85546875" customWidth="1"/>
    <col min="6658" max="6658" width="14.140625" customWidth="1"/>
    <col min="6659" max="6659" width="11.5703125" customWidth="1"/>
    <col min="6660" max="6660" width="9" customWidth="1"/>
    <col min="6661" max="6661" width="8.85546875" customWidth="1"/>
    <col min="6662" max="6662" width="11" customWidth="1"/>
    <col min="6663" max="6663" width="9.7109375" customWidth="1"/>
    <col min="6664" max="6664" width="9.42578125" customWidth="1"/>
    <col min="6665" max="6665" width="11.7109375" customWidth="1"/>
    <col min="6666" max="6667" width="11.85546875" customWidth="1"/>
    <col min="6668" max="6668" width="11.140625" customWidth="1"/>
    <col min="6669" max="6669" width="10.85546875" customWidth="1"/>
    <col min="6670" max="6670" width="9.140625" customWidth="1"/>
    <col min="6671" max="6671" width="9.7109375" customWidth="1"/>
    <col min="6672" max="6672" width="10.85546875" customWidth="1"/>
    <col min="6673" max="6673" width="12.42578125" customWidth="1"/>
    <col min="6674" max="6674" width="13.5703125" customWidth="1"/>
    <col min="6675" max="6675" width="11.28515625" customWidth="1"/>
    <col min="6676" max="6676" width="11.28515625" bestFit="1" customWidth="1"/>
    <col min="6913" max="6913" width="16.85546875" customWidth="1"/>
    <col min="6914" max="6914" width="14.140625" customWidth="1"/>
    <col min="6915" max="6915" width="11.5703125" customWidth="1"/>
    <col min="6916" max="6916" width="9" customWidth="1"/>
    <col min="6917" max="6917" width="8.85546875" customWidth="1"/>
    <col min="6918" max="6918" width="11" customWidth="1"/>
    <col min="6919" max="6919" width="9.7109375" customWidth="1"/>
    <col min="6920" max="6920" width="9.42578125" customWidth="1"/>
    <col min="6921" max="6921" width="11.7109375" customWidth="1"/>
    <col min="6922" max="6923" width="11.85546875" customWidth="1"/>
    <col min="6924" max="6924" width="11.140625" customWidth="1"/>
    <col min="6925" max="6925" width="10.85546875" customWidth="1"/>
    <col min="6926" max="6926" width="9.140625" customWidth="1"/>
    <col min="6927" max="6927" width="9.7109375" customWidth="1"/>
    <col min="6928" max="6928" width="10.85546875" customWidth="1"/>
    <col min="6929" max="6929" width="12.42578125" customWidth="1"/>
    <col min="6930" max="6930" width="13.5703125" customWidth="1"/>
    <col min="6931" max="6931" width="11.28515625" customWidth="1"/>
    <col min="6932" max="6932" width="11.28515625" bestFit="1" customWidth="1"/>
    <col min="7169" max="7169" width="16.85546875" customWidth="1"/>
    <col min="7170" max="7170" width="14.140625" customWidth="1"/>
    <col min="7171" max="7171" width="11.5703125" customWidth="1"/>
    <col min="7172" max="7172" width="9" customWidth="1"/>
    <col min="7173" max="7173" width="8.85546875" customWidth="1"/>
    <col min="7174" max="7174" width="11" customWidth="1"/>
    <col min="7175" max="7175" width="9.7109375" customWidth="1"/>
    <col min="7176" max="7176" width="9.42578125" customWidth="1"/>
    <col min="7177" max="7177" width="11.7109375" customWidth="1"/>
    <col min="7178" max="7179" width="11.85546875" customWidth="1"/>
    <col min="7180" max="7180" width="11.140625" customWidth="1"/>
    <col min="7181" max="7181" width="10.85546875" customWidth="1"/>
    <col min="7182" max="7182" width="9.140625" customWidth="1"/>
    <col min="7183" max="7183" width="9.7109375" customWidth="1"/>
    <col min="7184" max="7184" width="10.85546875" customWidth="1"/>
    <col min="7185" max="7185" width="12.42578125" customWidth="1"/>
    <col min="7186" max="7186" width="13.5703125" customWidth="1"/>
    <col min="7187" max="7187" width="11.28515625" customWidth="1"/>
    <col min="7188" max="7188" width="11.28515625" bestFit="1" customWidth="1"/>
    <col min="7425" max="7425" width="16.85546875" customWidth="1"/>
    <col min="7426" max="7426" width="14.140625" customWidth="1"/>
    <col min="7427" max="7427" width="11.5703125" customWidth="1"/>
    <col min="7428" max="7428" width="9" customWidth="1"/>
    <col min="7429" max="7429" width="8.85546875" customWidth="1"/>
    <col min="7430" max="7430" width="11" customWidth="1"/>
    <col min="7431" max="7431" width="9.7109375" customWidth="1"/>
    <col min="7432" max="7432" width="9.42578125" customWidth="1"/>
    <col min="7433" max="7433" width="11.7109375" customWidth="1"/>
    <col min="7434" max="7435" width="11.85546875" customWidth="1"/>
    <col min="7436" max="7436" width="11.140625" customWidth="1"/>
    <col min="7437" max="7437" width="10.85546875" customWidth="1"/>
    <col min="7438" max="7438" width="9.140625" customWidth="1"/>
    <col min="7439" max="7439" width="9.7109375" customWidth="1"/>
    <col min="7440" max="7440" width="10.85546875" customWidth="1"/>
    <col min="7441" max="7441" width="12.42578125" customWidth="1"/>
    <col min="7442" max="7442" width="13.5703125" customWidth="1"/>
    <col min="7443" max="7443" width="11.28515625" customWidth="1"/>
    <col min="7444" max="7444" width="11.28515625" bestFit="1" customWidth="1"/>
    <col min="7681" max="7681" width="16.85546875" customWidth="1"/>
    <col min="7682" max="7682" width="14.140625" customWidth="1"/>
    <col min="7683" max="7683" width="11.5703125" customWidth="1"/>
    <col min="7684" max="7684" width="9" customWidth="1"/>
    <col min="7685" max="7685" width="8.85546875" customWidth="1"/>
    <col min="7686" max="7686" width="11" customWidth="1"/>
    <col min="7687" max="7687" width="9.7109375" customWidth="1"/>
    <col min="7688" max="7688" width="9.42578125" customWidth="1"/>
    <col min="7689" max="7689" width="11.7109375" customWidth="1"/>
    <col min="7690" max="7691" width="11.85546875" customWidth="1"/>
    <col min="7692" max="7692" width="11.140625" customWidth="1"/>
    <col min="7693" max="7693" width="10.85546875" customWidth="1"/>
    <col min="7694" max="7694" width="9.140625" customWidth="1"/>
    <col min="7695" max="7695" width="9.7109375" customWidth="1"/>
    <col min="7696" max="7696" width="10.85546875" customWidth="1"/>
    <col min="7697" max="7697" width="12.42578125" customWidth="1"/>
    <col min="7698" max="7698" width="13.5703125" customWidth="1"/>
    <col min="7699" max="7699" width="11.28515625" customWidth="1"/>
    <col min="7700" max="7700" width="11.28515625" bestFit="1" customWidth="1"/>
    <col min="7937" max="7937" width="16.85546875" customWidth="1"/>
    <col min="7938" max="7938" width="14.140625" customWidth="1"/>
    <col min="7939" max="7939" width="11.5703125" customWidth="1"/>
    <col min="7940" max="7940" width="9" customWidth="1"/>
    <col min="7941" max="7941" width="8.85546875" customWidth="1"/>
    <col min="7942" max="7942" width="11" customWidth="1"/>
    <col min="7943" max="7943" width="9.7109375" customWidth="1"/>
    <col min="7944" max="7944" width="9.42578125" customWidth="1"/>
    <col min="7945" max="7945" width="11.7109375" customWidth="1"/>
    <col min="7946" max="7947" width="11.85546875" customWidth="1"/>
    <col min="7948" max="7948" width="11.140625" customWidth="1"/>
    <col min="7949" max="7949" width="10.85546875" customWidth="1"/>
    <col min="7950" max="7950" width="9.140625" customWidth="1"/>
    <col min="7951" max="7951" width="9.7109375" customWidth="1"/>
    <col min="7952" max="7952" width="10.85546875" customWidth="1"/>
    <col min="7953" max="7953" width="12.42578125" customWidth="1"/>
    <col min="7954" max="7954" width="13.5703125" customWidth="1"/>
    <col min="7955" max="7955" width="11.28515625" customWidth="1"/>
    <col min="7956" max="7956" width="11.28515625" bestFit="1" customWidth="1"/>
    <col min="8193" max="8193" width="16.85546875" customWidth="1"/>
    <col min="8194" max="8194" width="14.140625" customWidth="1"/>
    <col min="8195" max="8195" width="11.5703125" customWidth="1"/>
    <col min="8196" max="8196" width="9" customWidth="1"/>
    <col min="8197" max="8197" width="8.85546875" customWidth="1"/>
    <col min="8198" max="8198" width="11" customWidth="1"/>
    <col min="8199" max="8199" width="9.7109375" customWidth="1"/>
    <col min="8200" max="8200" width="9.42578125" customWidth="1"/>
    <col min="8201" max="8201" width="11.7109375" customWidth="1"/>
    <col min="8202" max="8203" width="11.85546875" customWidth="1"/>
    <col min="8204" max="8204" width="11.140625" customWidth="1"/>
    <col min="8205" max="8205" width="10.85546875" customWidth="1"/>
    <col min="8206" max="8206" width="9.140625" customWidth="1"/>
    <col min="8207" max="8207" width="9.7109375" customWidth="1"/>
    <col min="8208" max="8208" width="10.85546875" customWidth="1"/>
    <col min="8209" max="8209" width="12.42578125" customWidth="1"/>
    <col min="8210" max="8210" width="13.5703125" customWidth="1"/>
    <col min="8211" max="8211" width="11.28515625" customWidth="1"/>
    <col min="8212" max="8212" width="11.28515625" bestFit="1" customWidth="1"/>
    <col min="8449" max="8449" width="16.85546875" customWidth="1"/>
    <col min="8450" max="8450" width="14.140625" customWidth="1"/>
    <col min="8451" max="8451" width="11.5703125" customWidth="1"/>
    <col min="8452" max="8452" width="9" customWidth="1"/>
    <col min="8453" max="8453" width="8.85546875" customWidth="1"/>
    <col min="8454" max="8454" width="11" customWidth="1"/>
    <col min="8455" max="8455" width="9.7109375" customWidth="1"/>
    <col min="8456" max="8456" width="9.42578125" customWidth="1"/>
    <col min="8457" max="8457" width="11.7109375" customWidth="1"/>
    <col min="8458" max="8459" width="11.85546875" customWidth="1"/>
    <col min="8460" max="8460" width="11.140625" customWidth="1"/>
    <col min="8461" max="8461" width="10.85546875" customWidth="1"/>
    <col min="8462" max="8462" width="9.140625" customWidth="1"/>
    <col min="8463" max="8463" width="9.7109375" customWidth="1"/>
    <col min="8464" max="8464" width="10.85546875" customWidth="1"/>
    <col min="8465" max="8465" width="12.42578125" customWidth="1"/>
    <col min="8466" max="8466" width="13.5703125" customWidth="1"/>
    <col min="8467" max="8467" width="11.28515625" customWidth="1"/>
    <col min="8468" max="8468" width="11.28515625" bestFit="1" customWidth="1"/>
    <col min="8705" max="8705" width="16.85546875" customWidth="1"/>
    <col min="8706" max="8706" width="14.140625" customWidth="1"/>
    <col min="8707" max="8707" width="11.5703125" customWidth="1"/>
    <col min="8708" max="8708" width="9" customWidth="1"/>
    <col min="8709" max="8709" width="8.85546875" customWidth="1"/>
    <col min="8710" max="8710" width="11" customWidth="1"/>
    <col min="8711" max="8711" width="9.7109375" customWidth="1"/>
    <col min="8712" max="8712" width="9.42578125" customWidth="1"/>
    <col min="8713" max="8713" width="11.7109375" customWidth="1"/>
    <col min="8714" max="8715" width="11.85546875" customWidth="1"/>
    <col min="8716" max="8716" width="11.140625" customWidth="1"/>
    <col min="8717" max="8717" width="10.85546875" customWidth="1"/>
    <col min="8718" max="8718" width="9.140625" customWidth="1"/>
    <col min="8719" max="8719" width="9.7109375" customWidth="1"/>
    <col min="8720" max="8720" width="10.85546875" customWidth="1"/>
    <col min="8721" max="8721" width="12.42578125" customWidth="1"/>
    <col min="8722" max="8722" width="13.5703125" customWidth="1"/>
    <col min="8723" max="8723" width="11.28515625" customWidth="1"/>
    <col min="8724" max="8724" width="11.28515625" bestFit="1" customWidth="1"/>
    <col min="8961" max="8961" width="16.85546875" customWidth="1"/>
    <col min="8962" max="8962" width="14.140625" customWidth="1"/>
    <col min="8963" max="8963" width="11.5703125" customWidth="1"/>
    <col min="8964" max="8964" width="9" customWidth="1"/>
    <col min="8965" max="8965" width="8.85546875" customWidth="1"/>
    <col min="8966" max="8966" width="11" customWidth="1"/>
    <col min="8967" max="8967" width="9.7109375" customWidth="1"/>
    <col min="8968" max="8968" width="9.42578125" customWidth="1"/>
    <col min="8969" max="8969" width="11.7109375" customWidth="1"/>
    <col min="8970" max="8971" width="11.85546875" customWidth="1"/>
    <col min="8972" max="8972" width="11.140625" customWidth="1"/>
    <col min="8973" max="8973" width="10.85546875" customWidth="1"/>
    <col min="8974" max="8974" width="9.140625" customWidth="1"/>
    <col min="8975" max="8975" width="9.7109375" customWidth="1"/>
    <col min="8976" max="8976" width="10.85546875" customWidth="1"/>
    <col min="8977" max="8977" width="12.42578125" customWidth="1"/>
    <col min="8978" max="8978" width="13.5703125" customWidth="1"/>
    <col min="8979" max="8979" width="11.28515625" customWidth="1"/>
    <col min="8980" max="8980" width="11.28515625" bestFit="1" customWidth="1"/>
    <col min="9217" max="9217" width="16.85546875" customWidth="1"/>
    <col min="9218" max="9218" width="14.140625" customWidth="1"/>
    <col min="9219" max="9219" width="11.5703125" customWidth="1"/>
    <col min="9220" max="9220" width="9" customWidth="1"/>
    <col min="9221" max="9221" width="8.85546875" customWidth="1"/>
    <col min="9222" max="9222" width="11" customWidth="1"/>
    <col min="9223" max="9223" width="9.7109375" customWidth="1"/>
    <col min="9224" max="9224" width="9.42578125" customWidth="1"/>
    <col min="9225" max="9225" width="11.7109375" customWidth="1"/>
    <col min="9226" max="9227" width="11.85546875" customWidth="1"/>
    <col min="9228" max="9228" width="11.140625" customWidth="1"/>
    <col min="9229" max="9229" width="10.85546875" customWidth="1"/>
    <col min="9230" max="9230" width="9.140625" customWidth="1"/>
    <col min="9231" max="9231" width="9.7109375" customWidth="1"/>
    <col min="9232" max="9232" width="10.85546875" customWidth="1"/>
    <col min="9233" max="9233" width="12.42578125" customWidth="1"/>
    <col min="9234" max="9234" width="13.5703125" customWidth="1"/>
    <col min="9235" max="9235" width="11.28515625" customWidth="1"/>
    <col min="9236" max="9236" width="11.28515625" bestFit="1" customWidth="1"/>
    <col min="9473" max="9473" width="16.85546875" customWidth="1"/>
    <col min="9474" max="9474" width="14.140625" customWidth="1"/>
    <col min="9475" max="9475" width="11.5703125" customWidth="1"/>
    <col min="9476" max="9476" width="9" customWidth="1"/>
    <col min="9477" max="9477" width="8.85546875" customWidth="1"/>
    <col min="9478" max="9478" width="11" customWidth="1"/>
    <col min="9479" max="9479" width="9.7109375" customWidth="1"/>
    <col min="9480" max="9480" width="9.42578125" customWidth="1"/>
    <col min="9481" max="9481" width="11.7109375" customWidth="1"/>
    <col min="9482" max="9483" width="11.85546875" customWidth="1"/>
    <col min="9484" max="9484" width="11.140625" customWidth="1"/>
    <col min="9485" max="9485" width="10.85546875" customWidth="1"/>
    <col min="9486" max="9486" width="9.140625" customWidth="1"/>
    <col min="9487" max="9487" width="9.7109375" customWidth="1"/>
    <col min="9488" max="9488" width="10.85546875" customWidth="1"/>
    <col min="9489" max="9489" width="12.42578125" customWidth="1"/>
    <col min="9490" max="9490" width="13.5703125" customWidth="1"/>
    <col min="9491" max="9491" width="11.28515625" customWidth="1"/>
    <col min="9492" max="9492" width="11.28515625" bestFit="1" customWidth="1"/>
    <col min="9729" max="9729" width="16.85546875" customWidth="1"/>
    <col min="9730" max="9730" width="14.140625" customWidth="1"/>
    <col min="9731" max="9731" width="11.5703125" customWidth="1"/>
    <col min="9732" max="9732" width="9" customWidth="1"/>
    <col min="9733" max="9733" width="8.85546875" customWidth="1"/>
    <col min="9734" max="9734" width="11" customWidth="1"/>
    <col min="9735" max="9735" width="9.7109375" customWidth="1"/>
    <col min="9736" max="9736" width="9.42578125" customWidth="1"/>
    <col min="9737" max="9737" width="11.7109375" customWidth="1"/>
    <col min="9738" max="9739" width="11.85546875" customWidth="1"/>
    <col min="9740" max="9740" width="11.140625" customWidth="1"/>
    <col min="9741" max="9741" width="10.85546875" customWidth="1"/>
    <col min="9742" max="9742" width="9.140625" customWidth="1"/>
    <col min="9743" max="9743" width="9.7109375" customWidth="1"/>
    <col min="9744" max="9744" width="10.85546875" customWidth="1"/>
    <col min="9745" max="9745" width="12.42578125" customWidth="1"/>
    <col min="9746" max="9746" width="13.5703125" customWidth="1"/>
    <col min="9747" max="9747" width="11.28515625" customWidth="1"/>
    <col min="9748" max="9748" width="11.28515625" bestFit="1" customWidth="1"/>
    <col min="9985" max="9985" width="16.85546875" customWidth="1"/>
    <col min="9986" max="9986" width="14.140625" customWidth="1"/>
    <col min="9987" max="9987" width="11.5703125" customWidth="1"/>
    <col min="9988" max="9988" width="9" customWidth="1"/>
    <col min="9989" max="9989" width="8.85546875" customWidth="1"/>
    <col min="9990" max="9990" width="11" customWidth="1"/>
    <col min="9991" max="9991" width="9.7109375" customWidth="1"/>
    <col min="9992" max="9992" width="9.42578125" customWidth="1"/>
    <col min="9993" max="9993" width="11.7109375" customWidth="1"/>
    <col min="9994" max="9995" width="11.85546875" customWidth="1"/>
    <col min="9996" max="9996" width="11.140625" customWidth="1"/>
    <col min="9997" max="9997" width="10.85546875" customWidth="1"/>
    <col min="9998" max="9998" width="9.140625" customWidth="1"/>
    <col min="9999" max="9999" width="9.7109375" customWidth="1"/>
    <col min="10000" max="10000" width="10.85546875" customWidth="1"/>
    <col min="10001" max="10001" width="12.42578125" customWidth="1"/>
    <col min="10002" max="10002" width="13.5703125" customWidth="1"/>
    <col min="10003" max="10003" width="11.28515625" customWidth="1"/>
    <col min="10004" max="10004" width="11.28515625" bestFit="1" customWidth="1"/>
    <col min="10241" max="10241" width="16.85546875" customWidth="1"/>
    <col min="10242" max="10242" width="14.140625" customWidth="1"/>
    <col min="10243" max="10243" width="11.5703125" customWidth="1"/>
    <col min="10244" max="10244" width="9" customWidth="1"/>
    <col min="10245" max="10245" width="8.85546875" customWidth="1"/>
    <col min="10246" max="10246" width="11" customWidth="1"/>
    <col min="10247" max="10247" width="9.7109375" customWidth="1"/>
    <col min="10248" max="10248" width="9.42578125" customWidth="1"/>
    <col min="10249" max="10249" width="11.7109375" customWidth="1"/>
    <col min="10250" max="10251" width="11.85546875" customWidth="1"/>
    <col min="10252" max="10252" width="11.140625" customWidth="1"/>
    <col min="10253" max="10253" width="10.85546875" customWidth="1"/>
    <col min="10254" max="10254" width="9.140625" customWidth="1"/>
    <col min="10255" max="10255" width="9.7109375" customWidth="1"/>
    <col min="10256" max="10256" width="10.85546875" customWidth="1"/>
    <col min="10257" max="10257" width="12.42578125" customWidth="1"/>
    <col min="10258" max="10258" width="13.5703125" customWidth="1"/>
    <col min="10259" max="10259" width="11.28515625" customWidth="1"/>
    <col min="10260" max="10260" width="11.28515625" bestFit="1" customWidth="1"/>
    <col min="10497" max="10497" width="16.85546875" customWidth="1"/>
    <col min="10498" max="10498" width="14.140625" customWidth="1"/>
    <col min="10499" max="10499" width="11.5703125" customWidth="1"/>
    <col min="10500" max="10500" width="9" customWidth="1"/>
    <col min="10501" max="10501" width="8.85546875" customWidth="1"/>
    <col min="10502" max="10502" width="11" customWidth="1"/>
    <col min="10503" max="10503" width="9.7109375" customWidth="1"/>
    <col min="10504" max="10504" width="9.42578125" customWidth="1"/>
    <col min="10505" max="10505" width="11.7109375" customWidth="1"/>
    <col min="10506" max="10507" width="11.85546875" customWidth="1"/>
    <col min="10508" max="10508" width="11.140625" customWidth="1"/>
    <col min="10509" max="10509" width="10.85546875" customWidth="1"/>
    <col min="10510" max="10510" width="9.140625" customWidth="1"/>
    <col min="10511" max="10511" width="9.7109375" customWidth="1"/>
    <col min="10512" max="10512" width="10.85546875" customWidth="1"/>
    <col min="10513" max="10513" width="12.42578125" customWidth="1"/>
    <col min="10514" max="10514" width="13.5703125" customWidth="1"/>
    <col min="10515" max="10515" width="11.28515625" customWidth="1"/>
    <col min="10516" max="10516" width="11.28515625" bestFit="1" customWidth="1"/>
    <col min="10753" max="10753" width="16.85546875" customWidth="1"/>
    <col min="10754" max="10754" width="14.140625" customWidth="1"/>
    <col min="10755" max="10755" width="11.5703125" customWidth="1"/>
    <col min="10756" max="10756" width="9" customWidth="1"/>
    <col min="10757" max="10757" width="8.85546875" customWidth="1"/>
    <col min="10758" max="10758" width="11" customWidth="1"/>
    <col min="10759" max="10759" width="9.7109375" customWidth="1"/>
    <col min="10760" max="10760" width="9.42578125" customWidth="1"/>
    <col min="10761" max="10761" width="11.7109375" customWidth="1"/>
    <col min="10762" max="10763" width="11.85546875" customWidth="1"/>
    <col min="10764" max="10764" width="11.140625" customWidth="1"/>
    <col min="10765" max="10765" width="10.85546875" customWidth="1"/>
    <col min="10766" max="10766" width="9.140625" customWidth="1"/>
    <col min="10767" max="10767" width="9.7109375" customWidth="1"/>
    <col min="10768" max="10768" width="10.85546875" customWidth="1"/>
    <col min="10769" max="10769" width="12.42578125" customWidth="1"/>
    <col min="10770" max="10770" width="13.5703125" customWidth="1"/>
    <col min="10771" max="10771" width="11.28515625" customWidth="1"/>
    <col min="10772" max="10772" width="11.28515625" bestFit="1" customWidth="1"/>
    <col min="11009" max="11009" width="16.85546875" customWidth="1"/>
    <col min="11010" max="11010" width="14.140625" customWidth="1"/>
    <col min="11011" max="11011" width="11.5703125" customWidth="1"/>
    <col min="11012" max="11012" width="9" customWidth="1"/>
    <col min="11013" max="11013" width="8.85546875" customWidth="1"/>
    <col min="11014" max="11014" width="11" customWidth="1"/>
    <col min="11015" max="11015" width="9.7109375" customWidth="1"/>
    <col min="11016" max="11016" width="9.42578125" customWidth="1"/>
    <col min="11017" max="11017" width="11.7109375" customWidth="1"/>
    <col min="11018" max="11019" width="11.85546875" customWidth="1"/>
    <col min="11020" max="11020" width="11.140625" customWidth="1"/>
    <col min="11021" max="11021" width="10.85546875" customWidth="1"/>
    <col min="11022" max="11022" width="9.140625" customWidth="1"/>
    <col min="11023" max="11023" width="9.7109375" customWidth="1"/>
    <col min="11024" max="11024" width="10.85546875" customWidth="1"/>
    <col min="11025" max="11025" width="12.42578125" customWidth="1"/>
    <col min="11026" max="11026" width="13.5703125" customWidth="1"/>
    <col min="11027" max="11027" width="11.28515625" customWidth="1"/>
    <col min="11028" max="11028" width="11.28515625" bestFit="1" customWidth="1"/>
    <col min="11265" max="11265" width="16.85546875" customWidth="1"/>
    <col min="11266" max="11266" width="14.140625" customWidth="1"/>
    <col min="11267" max="11267" width="11.5703125" customWidth="1"/>
    <col min="11268" max="11268" width="9" customWidth="1"/>
    <col min="11269" max="11269" width="8.85546875" customWidth="1"/>
    <col min="11270" max="11270" width="11" customWidth="1"/>
    <col min="11271" max="11271" width="9.7109375" customWidth="1"/>
    <col min="11272" max="11272" width="9.42578125" customWidth="1"/>
    <col min="11273" max="11273" width="11.7109375" customWidth="1"/>
    <col min="11274" max="11275" width="11.85546875" customWidth="1"/>
    <col min="11276" max="11276" width="11.140625" customWidth="1"/>
    <col min="11277" max="11277" width="10.85546875" customWidth="1"/>
    <col min="11278" max="11278" width="9.140625" customWidth="1"/>
    <col min="11279" max="11279" width="9.7109375" customWidth="1"/>
    <col min="11280" max="11280" width="10.85546875" customWidth="1"/>
    <col min="11281" max="11281" width="12.42578125" customWidth="1"/>
    <col min="11282" max="11282" width="13.5703125" customWidth="1"/>
    <col min="11283" max="11283" width="11.28515625" customWidth="1"/>
    <col min="11284" max="11284" width="11.28515625" bestFit="1" customWidth="1"/>
    <col min="11521" max="11521" width="16.85546875" customWidth="1"/>
    <col min="11522" max="11522" width="14.140625" customWidth="1"/>
    <col min="11523" max="11523" width="11.5703125" customWidth="1"/>
    <col min="11524" max="11524" width="9" customWidth="1"/>
    <col min="11525" max="11525" width="8.85546875" customWidth="1"/>
    <col min="11526" max="11526" width="11" customWidth="1"/>
    <col min="11527" max="11527" width="9.7109375" customWidth="1"/>
    <col min="11528" max="11528" width="9.42578125" customWidth="1"/>
    <col min="11529" max="11529" width="11.7109375" customWidth="1"/>
    <col min="11530" max="11531" width="11.85546875" customWidth="1"/>
    <col min="11532" max="11532" width="11.140625" customWidth="1"/>
    <col min="11533" max="11533" width="10.85546875" customWidth="1"/>
    <col min="11534" max="11534" width="9.140625" customWidth="1"/>
    <col min="11535" max="11535" width="9.7109375" customWidth="1"/>
    <col min="11536" max="11536" width="10.85546875" customWidth="1"/>
    <col min="11537" max="11537" width="12.42578125" customWidth="1"/>
    <col min="11538" max="11538" width="13.5703125" customWidth="1"/>
    <col min="11539" max="11539" width="11.28515625" customWidth="1"/>
    <col min="11540" max="11540" width="11.28515625" bestFit="1" customWidth="1"/>
    <col min="11777" max="11777" width="16.85546875" customWidth="1"/>
    <col min="11778" max="11778" width="14.140625" customWidth="1"/>
    <col min="11779" max="11779" width="11.5703125" customWidth="1"/>
    <col min="11780" max="11780" width="9" customWidth="1"/>
    <col min="11781" max="11781" width="8.85546875" customWidth="1"/>
    <col min="11782" max="11782" width="11" customWidth="1"/>
    <col min="11783" max="11783" width="9.7109375" customWidth="1"/>
    <col min="11784" max="11784" width="9.42578125" customWidth="1"/>
    <col min="11785" max="11785" width="11.7109375" customWidth="1"/>
    <col min="11786" max="11787" width="11.85546875" customWidth="1"/>
    <col min="11788" max="11788" width="11.140625" customWidth="1"/>
    <col min="11789" max="11789" width="10.85546875" customWidth="1"/>
    <col min="11790" max="11790" width="9.140625" customWidth="1"/>
    <col min="11791" max="11791" width="9.7109375" customWidth="1"/>
    <col min="11792" max="11792" width="10.85546875" customWidth="1"/>
    <col min="11793" max="11793" width="12.42578125" customWidth="1"/>
    <col min="11794" max="11794" width="13.5703125" customWidth="1"/>
    <col min="11795" max="11795" width="11.28515625" customWidth="1"/>
    <col min="11796" max="11796" width="11.28515625" bestFit="1" customWidth="1"/>
    <col min="12033" max="12033" width="16.85546875" customWidth="1"/>
    <col min="12034" max="12034" width="14.140625" customWidth="1"/>
    <col min="12035" max="12035" width="11.5703125" customWidth="1"/>
    <col min="12036" max="12036" width="9" customWidth="1"/>
    <col min="12037" max="12037" width="8.85546875" customWidth="1"/>
    <col min="12038" max="12038" width="11" customWidth="1"/>
    <col min="12039" max="12039" width="9.7109375" customWidth="1"/>
    <col min="12040" max="12040" width="9.42578125" customWidth="1"/>
    <col min="12041" max="12041" width="11.7109375" customWidth="1"/>
    <col min="12042" max="12043" width="11.85546875" customWidth="1"/>
    <col min="12044" max="12044" width="11.140625" customWidth="1"/>
    <col min="12045" max="12045" width="10.85546875" customWidth="1"/>
    <col min="12046" max="12046" width="9.140625" customWidth="1"/>
    <col min="12047" max="12047" width="9.7109375" customWidth="1"/>
    <col min="12048" max="12048" width="10.85546875" customWidth="1"/>
    <col min="12049" max="12049" width="12.42578125" customWidth="1"/>
    <col min="12050" max="12050" width="13.5703125" customWidth="1"/>
    <col min="12051" max="12051" width="11.28515625" customWidth="1"/>
    <col min="12052" max="12052" width="11.28515625" bestFit="1" customWidth="1"/>
    <col min="12289" max="12289" width="16.85546875" customWidth="1"/>
    <col min="12290" max="12290" width="14.140625" customWidth="1"/>
    <col min="12291" max="12291" width="11.5703125" customWidth="1"/>
    <col min="12292" max="12292" width="9" customWidth="1"/>
    <col min="12293" max="12293" width="8.85546875" customWidth="1"/>
    <col min="12294" max="12294" width="11" customWidth="1"/>
    <col min="12295" max="12295" width="9.7109375" customWidth="1"/>
    <col min="12296" max="12296" width="9.42578125" customWidth="1"/>
    <col min="12297" max="12297" width="11.7109375" customWidth="1"/>
    <col min="12298" max="12299" width="11.85546875" customWidth="1"/>
    <col min="12300" max="12300" width="11.140625" customWidth="1"/>
    <col min="12301" max="12301" width="10.85546875" customWidth="1"/>
    <col min="12302" max="12302" width="9.140625" customWidth="1"/>
    <col min="12303" max="12303" width="9.7109375" customWidth="1"/>
    <col min="12304" max="12304" width="10.85546875" customWidth="1"/>
    <col min="12305" max="12305" width="12.42578125" customWidth="1"/>
    <col min="12306" max="12306" width="13.5703125" customWidth="1"/>
    <col min="12307" max="12307" width="11.28515625" customWidth="1"/>
    <col min="12308" max="12308" width="11.28515625" bestFit="1" customWidth="1"/>
    <col min="12545" max="12545" width="16.85546875" customWidth="1"/>
    <col min="12546" max="12546" width="14.140625" customWidth="1"/>
    <col min="12547" max="12547" width="11.5703125" customWidth="1"/>
    <col min="12548" max="12548" width="9" customWidth="1"/>
    <col min="12549" max="12549" width="8.85546875" customWidth="1"/>
    <col min="12550" max="12550" width="11" customWidth="1"/>
    <col min="12551" max="12551" width="9.7109375" customWidth="1"/>
    <col min="12552" max="12552" width="9.42578125" customWidth="1"/>
    <col min="12553" max="12553" width="11.7109375" customWidth="1"/>
    <col min="12554" max="12555" width="11.85546875" customWidth="1"/>
    <col min="12556" max="12556" width="11.140625" customWidth="1"/>
    <col min="12557" max="12557" width="10.85546875" customWidth="1"/>
    <col min="12558" max="12558" width="9.140625" customWidth="1"/>
    <col min="12559" max="12559" width="9.7109375" customWidth="1"/>
    <col min="12560" max="12560" width="10.85546875" customWidth="1"/>
    <col min="12561" max="12561" width="12.42578125" customWidth="1"/>
    <col min="12562" max="12562" width="13.5703125" customWidth="1"/>
    <col min="12563" max="12563" width="11.28515625" customWidth="1"/>
    <col min="12564" max="12564" width="11.28515625" bestFit="1" customWidth="1"/>
    <col min="12801" max="12801" width="16.85546875" customWidth="1"/>
    <col min="12802" max="12802" width="14.140625" customWidth="1"/>
    <col min="12803" max="12803" width="11.5703125" customWidth="1"/>
    <col min="12804" max="12804" width="9" customWidth="1"/>
    <col min="12805" max="12805" width="8.85546875" customWidth="1"/>
    <col min="12806" max="12806" width="11" customWidth="1"/>
    <col min="12807" max="12807" width="9.7109375" customWidth="1"/>
    <col min="12808" max="12808" width="9.42578125" customWidth="1"/>
    <col min="12809" max="12809" width="11.7109375" customWidth="1"/>
    <col min="12810" max="12811" width="11.85546875" customWidth="1"/>
    <col min="12812" max="12812" width="11.140625" customWidth="1"/>
    <col min="12813" max="12813" width="10.85546875" customWidth="1"/>
    <col min="12814" max="12814" width="9.140625" customWidth="1"/>
    <col min="12815" max="12815" width="9.7109375" customWidth="1"/>
    <col min="12816" max="12816" width="10.85546875" customWidth="1"/>
    <col min="12817" max="12817" width="12.42578125" customWidth="1"/>
    <col min="12818" max="12818" width="13.5703125" customWidth="1"/>
    <col min="12819" max="12819" width="11.28515625" customWidth="1"/>
    <col min="12820" max="12820" width="11.28515625" bestFit="1" customWidth="1"/>
    <col min="13057" max="13057" width="16.85546875" customWidth="1"/>
    <col min="13058" max="13058" width="14.140625" customWidth="1"/>
    <col min="13059" max="13059" width="11.5703125" customWidth="1"/>
    <col min="13060" max="13060" width="9" customWidth="1"/>
    <col min="13061" max="13061" width="8.85546875" customWidth="1"/>
    <col min="13062" max="13062" width="11" customWidth="1"/>
    <col min="13063" max="13063" width="9.7109375" customWidth="1"/>
    <col min="13064" max="13064" width="9.42578125" customWidth="1"/>
    <col min="13065" max="13065" width="11.7109375" customWidth="1"/>
    <col min="13066" max="13067" width="11.85546875" customWidth="1"/>
    <col min="13068" max="13068" width="11.140625" customWidth="1"/>
    <col min="13069" max="13069" width="10.85546875" customWidth="1"/>
    <col min="13070" max="13070" width="9.140625" customWidth="1"/>
    <col min="13071" max="13071" width="9.7109375" customWidth="1"/>
    <col min="13072" max="13072" width="10.85546875" customWidth="1"/>
    <col min="13073" max="13073" width="12.42578125" customWidth="1"/>
    <col min="13074" max="13074" width="13.5703125" customWidth="1"/>
    <col min="13075" max="13075" width="11.28515625" customWidth="1"/>
    <col min="13076" max="13076" width="11.28515625" bestFit="1" customWidth="1"/>
    <col min="13313" max="13313" width="16.85546875" customWidth="1"/>
    <col min="13314" max="13314" width="14.140625" customWidth="1"/>
    <col min="13315" max="13315" width="11.5703125" customWidth="1"/>
    <col min="13316" max="13316" width="9" customWidth="1"/>
    <col min="13317" max="13317" width="8.85546875" customWidth="1"/>
    <col min="13318" max="13318" width="11" customWidth="1"/>
    <col min="13319" max="13319" width="9.7109375" customWidth="1"/>
    <col min="13320" max="13320" width="9.42578125" customWidth="1"/>
    <col min="13321" max="13321" width="11.7109375" customWidth="1"/>
    <col min="13322" max="13323" width="11.85546875" customWidth="1"/>
    <col min="13324" max="13324" width="11.140625" customWidth="1"/>
    <col min="13325" max="13325" width="10.85546875" customWidth="1"/>
    <col min="13326" max="13326" width="9.140625" customWidth="1"/>
    <col min="13327" max="13327" width="9.7109375" customWidth="1"/>
    <col min="13328" max="13328" width="10.85546875" customWidth="1"/>
    <col min="13329" max="13329" width="12.42578125" customWidth="1"/>
    <col min="13330" max="13330" width="13.5703125" customWidth="1"/>
    <col min="13331" max="13331" width="11.28515625" customWidth="1"/>
    <col min="13332" max="13332" width="11.28515625" bestFit="1" customWidth="1"/>
    <col min="13569" max="13569" width="16.85546875" customWidth="1"/>
    <col min="13570" max="13570" width="14.140625" customWidth="1"/>
    <col min="13571" max="13571" width="11.5703125" customWidth="1"/>
    <col min="13572" max="13572" width="9" customWidth="1"/>
    <col min="13573" max="13573" width="8.85546875" customWidth="1"/>
    <col min="13574" max="13574" width="11" customWidth="1"/>
    <col min="13575" max="13575" width="9.7109375" customWidth="1"/>
    <col min="13576" max="13576" width="9.42578125" customWidth="1"/>
    <col min="13577" max="13577" width="11.7109375" customWidth="1"/>
    <col min="13578" max="13579" width="11.85546875" customWidth="1"/>
    <col min="13580" max="13580" width="11.140625" customWidth="1"/>
    <col min="13581" max="13581" width="10.85546875" customWidth="1"/>
    <col min="13582" max="13582" width="9.140625" customWidth="1"/>
    <col min="13583" max="13583" width="9.7109375" customWidth="1"/>
    <col min="13584" max="13584" width="10.85546875" customWidth="1"/>
    <col min="13585" max="13585" width="12.42578125" customWidth="1"/>
    <col min="13586" max="13586" width="13.5703125" customWidth="1"/>
    <col min="13587" max="13587" width="11.28515625" customWidth="1"/>
    <col min="13588" max="13588" width="11.28515625" bestFit="1" customWidth="1"/>
    <col min="13825" max="13825" width="16.85546875" customWidth="1"/>
    <col min="13826" max="13826" width="14.140625" customWidth="1"/>
    <col min="13827" max="13827" width="11.5703125" customWidth="1"/>
    <col min="13828" max="13828" width="9" customWidth="1"/>
    <col min="13829" max="13829" width="8.85546875" customWidth="1"/>
    <col min="13830" max="13830" width="11" customWidth="1"/>
    <col min="13831" max="13831" width="9.7109375" customWidth="1"/>
    <col min="13832" max="13832" width="9.42578125" customWidth="1"/>
    <col min="13833" max="13833" width="11.7109375" customWidth="1"/>
    <col min="13834" max="13835" width="11.85546875" customWidth="1"/>
    <col min="13836" max="13836" width="11.140625" customWidth="1"/>
    <col min="13837" max="13837" width="10.85546875" customWidth="1"/>
    <col min="13838" max="13838" width="9.140625" customWidth="1"/>
    <col min="13839" max="13839" width="9.7109375" customWidth="1"/>
    <col min="13840" max="13840" width="10.85546875" customWidth="1"/>
    <col min="13841" max="13841" width="12.42578125" customWidth="1"/>
    <col min="13842" max="13842" width="13.5703125" customWidth="1"/>
    <col min="13843" max="13843" width="11.28515625" customWidth="1"/>
    <col min="13844" max="13844" width="11.28515625" bestFit="1" customWidth="1"/>
    <col min="14081" max="14081" width="16.85546875" customWidth="1"/>
    <col min="14082" max="14082" width="14.140625" customWidth="1"/>
    <col min="14083" max="14083" width="11.5703125" customWidth="1"/>
    <col min="14084" max="14084" width="9" customWidth="1"/>
    <col min="14085" max="14085" width="8.85546875" customWidth="1"/>
    <col min="14086" max="14086" width="11" customWidth="1"/>
    <col min="14087" max="14087" width="9.7109375" customWidth="1"/>
    <col min="14088" max="14088" width="9.42578125" customWidth="1"/>
    <col min="14089" max="14089" width="11.7109375" customWidth="1"/>
    <col min="14090" max="14091" width="11.85546875" customWidth="1"/>
    <col min="14092" max="14092" width="11.140625" customWidth="1"/>
    <col min="14093" max="14093" width="10.85546875" customWidth="1"/>
    <col min="14094" max="14094" width="9.140625" customWidth="1"/>
    <col min="14095" max="14095" width="9.7109375" customWidth="1"/>
    <col min="14096" max="14096" width="10.85546875" customWidth="1"/>
    <col min="14097" max="14097" width="12.42578125" customWidth="1"/>
    <col min="14098" max="14098" width="13.5703125" customWidth="1"/>
    <col min="14099" max="14099" width="11.28515625" customWidth="1"/>
    <col min="14100" max="14100" width="11.28515625" bestFit="1" customWidth="1"/>
    <col min="14337" max="14337" width="16.85546875" customWidth="1"/>
    <col min="14338" max="14338" width="14.140625" customWidth="1"/>
    <col min="14339" max="14339" width="11.5703125" customWidth="1"/>
    <col min="14340" max="14340" width="9" customWidth="1"/>
    <col min="14341" max="14341" width="8.85546875" customWidth="1"/>
    <col min="14342" max="14342" width="11" customWidth="1"/>
    <col min="14343" max="14343" width="9.7109375" customWidth="1"/>
    <col min="14344" max="14344" width="9.42578125" customWidth="1"/>
    <col min="14345" max="14345" width="11.7109375" customWidth="1"/>
    <col min="14346" max="14347" width="11.85546875" customWidth="1"/>
    <col min="14348" max="14348" width="11.140625" customWidth="1"/>
    <col min="14349" max="14349" width="10.85546875" customWidth="1"/>
    <col min="14350" max="14350" width="9.140625" customWidth="1"/>
    <col min="14351" max="14351" width="9.7109375" customWidth="1"/>
    <col min="14352" max="14352" width="10.85546875" customWidth="1"/>
    <col min="14353" max="14353" width="12.42578125" customWidth="1"/>
    <col min="14354" max="14354" width="13.5703125" customWidth="1"/>
    <col min="14355" max="14355" width="11.28515625" customWidth="1"/>
    <col min="14356" max="14356" width="11.28515625" bestFit="1" customWidth="1"/>
    <col min="14593" max="14593" width="16.85546875" customWidth="1"/>
    <col min="14594" max="14594" width="14.140625" customWidth="1"/>
    <col min="14595" max="14595" width="11.5703125" customWidth="1"/>
    <col min="14596" max="14596" width="9" customWidth="1"/>
    <col min="14597" max="14597" width="8.85546875" customWidth="1"/>
    <col min="14598" max="14598" width="11" customWidth="1"/>
    <col min="14599" max="14599" width="9.7109375" customWidth="1"/>
    <col min="14600" max="14600" width="9.42578125" customWidth="1"/>
    <col min="14601" max="14601" width="11.7109375" customWidth="1"/>
    <col min="14602" max="14603" width="11.85546875" customWidth="1"/>
    <col min="14604" max="14604" width="11.140625" customWidth="1"/>
    <col min="14605" max="14605" width="10.85546875" customWidth="1"/>
    <col min="14606" max="14606" width="9.140625" customWidth="1"/>
    <col min="14607" max="14607" width="9.7109375" customWidth="1"/>
    <col min="14608" max="14608" width="10.85546875" customWidth="1"/>
    <col min="14609" max="14609" width="12.42578125" customWidth="1"/>
    <col min="14610" max="14610" width="13.5703125" customWidth="1"/>
    <col min="14611" max="14611" width="11.28515625" customWidth="1"/>
    <col min="14612" max="14612" width="11.28515625" bestFit="1" customWidth="1"/>
    <col min="14849" max="14849" width="16.85546875" customWidth="1"/>
    <col min="14850" max="14850" width="14.140625" customWidth="1"/>
    <col min="14851" max="14851" width="11.5703125" customWidth="1"/>
    <col min="14852" max="14852" width="9" customWidth="1"/>
    <col min="14853" max="14853" width="8.85546875" customWidth="1"/>
    <col min="14854" max="14854" width="11" customWidth="1"/>
    <col min="14855" max="14855" width="9.7109375" customWidth="1"/>
    <col min="14856" max="14856" width="9.42578125" customWidth="1"/>
    <col min="14857" max="14857" width="11.7109375" customWidth="1"/>
    <col min="14858" max="14859" width="11.85546875" customWidth="1"/>
    <col min="14860" max="14860" width="11.140625" customWidth="1"/>
    <col min="14861" max="14861" width="10.85546875" customWidth="1"/>
    <col min="14862" max="14862" width="9.140625" customWidth="1"/>
    <col min="14863" max="14863" width="9.7109375" customWidth="1"/>
    <col min="14864" max="14864" width="10.85546875" customWidth="1"/>
    <col min="14865" max="14865" width="12.42578125" customWidth="1"/>
    <col min="14866" max="14866" width="13.5703125" customWidth="1"/>
    <col min="14867" max="14867" width="11.28515625" customWidth="1"/>
    <col min="14868" max="14868" width="11.28515625" bestFit="1" customWidth="1"/>
    <col min="15105" max="15105" width="16.85546875" customWidth="1"/>
    <col min="15106" max="15106" width="14.140625" customWidth="1"/>
    <col min="15107" max="15107" width="11.5703125" customWidth="1"/>
    <col min="15108" max="15108" width="9" customWidth="1"/>
    <col min="15109" max="15109" width="8.85546875" customWidth="1"/>
    <col min="15110" max="15110" width="11" customWidth="1"/>
    <col min="15111" max="15111" width="9.7109375" customWidth="1"/>
    <col min="15112" max="15112" width="9.42578125" customWidth="1"/>
    <col min="15113" max="15113" width="11.7109375" customWidth="1"/>
    <col min="15114" max="15115" width="11.85546875" customWidth="1"/>
    <col min="15116" max="15116" width="11.140625" customWidth="1"/>
    <col min="15117" max="15117" width="10.85546875" customWidth="1"/>
    <col min="15118" max="15118" width="9.140625" customWidth="1"/>
    <col min="15119" max="15119" width="9.7109375" customWidth="1"/>
    <col min="15120" max="15120" width="10.85546875" customWidth="1"/>
    <col min="15121" max="15121" width="12.42578125" customWidth="1"/>
    <col min="15122" max="15122" width="13.5703125" customWidth="1"/>
    <col min="15123" max="15123" width="11.28515625" customWidth="1"/>
    <col min="15124" max="15124" width="11.28515625" bestFit="1" customWidth="1"/>
    <col min="15361" max="15361" width="16.85546875" customWidth="1"/>
    <col min="15362" max="15362" width="14.140625" customWidth="1"/>
    <col min="15363" max="15363" width="11.5703125" customWidth="1"/>
    <col min="15364" max="15364" width="9" customWidth="1"/>
    <col min="15365" max="15365" width="8.85546875" customWidth="1"/>
    <col min="15366" max="15366" width="11" customWidth="1"/>
    <col min="15367" max="15367" width="9.7109375" customWidth="1"/>
    <col min="15368" max="15368" width="9.42578125" customWidth="1"/>
    <col min="15369" max="15369" width="11.7109375" customWidth="1"/>
    <col min="15370" max="15371" width="11.85546875" customWidth="1"/>
    <col min="15372" max="15372" width="11.140625" customWidth="1"/>
    <col min="15373" max="15373" width="10.85546875" customWidth="1"/>
    <col min="15374" max="15374" width="9.140625" customWidth="1"/>
    <col min="15375" max="15375" width="9.7109375" customWidth="1"/>
    <col min="15376" max="15376" width="10.85546875" customWidth="1"/>
    <col min="15377" max="15377" width="12.42578125" customWidth="1"/>
    <col min="15378" max="15378" width="13.5703125" customWidth="1"/>
    <col min="15379" max="15379" width="11.28515625" customWidth="1"/>
    <col min="15380" max="15380" width="11.28515625" bestFit="1" customWidth="1"/>
    <col min="15617" max="15617" width="16.85546875" customWidth="1"/>
    <col min="15618" max="15618" width="14.140625" customWidth="1"/>
    <col min="15619" max="15619" width="11.5703125" customWidth="1"/>
    <col min="15620" max="15620" width="9" customWidth="1"/>
    <col min="15621" max="15621" width="8.85546875" customWidth="1"/>
    <col min="15622" max="15622" width="11" customWidth="1"/>
    <col min="15623" max="15623" width="9.7109375" customWidth="1"/>
    <col min="15624" max="15624" width="9.42578125" customWidth="1"/>
    <col min="15625" max="15625" width="11.7109375" customWidth="1"/>
    <col min="15626" max="15627" width="11.85546875" customWidth="1"/>
    <col min="15628" max="15628" width="11.140625" customWidth="1"/>
    <col min="15629" max="15629" width="10.85546875" customWidth="1"/>
    <col min="15630" max="15630" width="9.140625" customWidth="1"/>
    <col min="15631" max="15631" width="9.7109375" customWidth="1"/>
    <col min="15632" max="15632" width="10.85546875" customWidth="1"/>
    <col min="15633" max="15633" width="12.42578125" customWidth="1"/>
    <col min="15634" max="15634" width="13.5703125" customWidth="1"/>
    <col min="15635" max="15635" width="11.28515625" customWidth="1"/>
    <col min="15636" max="15636" width="11.28515625" bestFit="1" customWidth="1"/>
    <col min="15873" max="15873" width="16.85546875" customWidth="1"/>
    <col min="15874" max="15874" width="14.140625" customWidth="1"/>
    <col min="15875" max="15875" width="11.5703125" customWidth="1"/>
    <col min="15876" max="15876" width="9" customWidth="1"/>
    <col min="15877" max="15877" width="8.85546875" customWidth="1"/>
    <col min="15878" max="15878" width="11" customWidth="1"/>
    <col min="15879" max="15879" width="9.7109375" customWidth="1"/>
    <col min="15880" max="15880" width="9.42578125" customWidth="1"/>
    <col min="15881" max="15881" width="11.7109375" customWidth="1"/>
    <col min="15882" max="15883" width="11.85546875" customWidth="1"/>
    <col min="15884" max="15884" width="11.140625" customWidth="1"/>
    <col min="15885" max="15885" width="10.85546875" customWidth="1"/>
    <col min="15886" max="15886" width="9.140625" customWidth="1"/>
    <col min="15887" max="15887" width="9.7109375" customWidth="1"/>
    <col min="15888" max="15888" width="10.85546875" customWidth="1"/>
    <col min="15889" max="15889" width="12.42578125" customWidth="1"/>
    <col min="15890" max="15890" width="13.5703125" customWidth="1"/>
    <col min="15891" max="15891" width="11.28515625" customWidth="1"/>
    <col min="15892" max="15892" width="11.28515625" bestFit="1" customWidth="1"/>
    <col min="16129" max="16129" width="16.85546875" customWidth="1"/>
    <col min="16130" max="16130" width="14.140625" customWidth="1"/>
    <col min="16131" max="16131" width="11.5703125" customWidth="1"/>
    <col min="16132" max="16132" width="9" customWidth="1"/>
    <col min="16133" max="16133" width="8.85546875" customWidth="1"/>
    <col min="16134" max="16134" width="11" customWidth="1"/>
    <col min="16135" max="16135" width="9.7109375" customWidth="1"/>
    <col min="16136" max="16136" width="9.42578125" customWidth="1"/>
    <col min="16137" max="16137" width="11.7109375" customWidth="1"/>
    <col min="16138" max="16139" width="11.85546875" customWidth="1"/>
    <col min="16140" max="16140" width="11.140625" customWidth="1"/>
    <col min="16141" max="16141" width="10.85546875" customWidth="1"/>
    <col min="16142" max="16142" width="9.140625" customWidth="1"/>
    <col min="16143" max="16143" width="9.7109375" customWidth="1"/>
    <col min="16144" max="16144" width="10.85546875" customWidth="1"/>
    <col min="16145" max="16145" width="12.42578125" customWidth="1"/>
    <col min="16146" max="16146" width="13.5703125" customWidth="1"/>
    <col min="16147" max="16147" width="11.28515625" customWidth="1"/>
    <col min="16148" max="16148" width="11.28515625" bestFit="1" customWidth="1"/>
  </cols>
  <sheetData>
    <row r="1" spans="1:19" x14ac:dyDescent="0.2">
      <c r="A1" t="s">
        <v>55</v>
      </c>
      <c r="M1" s="87"/>
    </row>
    <row r="2" spans="1:19" x14ac:dyDescent="0.2">
      <c r="A2" s="22" t="s">
        <v>190</v>
      </c>
    </row>
    <row r="3" spans="1:19" x14ac:dyDescent="0.2">
      <c r="A3" t="s">
        <v>191</v>
      </c>
      <c r="L3" s="88" t="s">
        <v>192</v>
      </c>
    </row>
    <row r="5" spans="1:19" ht="51" x14ac:dyDescent="0.2">
      <c r="A5" s="89" t="s">
        <v>29</v>
      </c>
      <c r="B5" s="89" t="s">
        <v>193</v>
      </c>
      <c r="C5" s="89" t="s">
        <v>194</v>
      </c>
      <c r="D5" s="90" t="s">
        <v>195</v>
      </c>
      <c r="E5" s="90" t="s">
        <v>196</v>
      </c>
      <c r="F5" s="90" t="s">
        <v>197</v>
      </c>
      <c r="G5" s="90" t="s">
        <v>198</v>
      </c>
      <c r="H5" s="90" t="s">
        <v>199</v>
      </c>
      <c r="I5" s="90" t="s">
        <v>200</v>
      </c>
      <c r="J5" s="90" t="s">
        <v>201</v>
      </c>
      <c r="K5" s="90" t="s">
        <v>202</v>
      </c>
      <c r="L5" s="90" t="s">
        <v>203</v>
      </c>
      <c r="M5" s="90" t="s">
        <v>204</v>
      </c>
      <c r="N5" s="90" t="s">
        <v>205</v>
      </c>
      <c r="O5" s="90" t="s">
        <v>206</v>
      </c>
      <c r="P5" s="90" t="s">
        <v>207</v>
      </c>
      <c r="Q5" s="90" t="s">
        <v>208</v>
      </c>
      <c r="R5" s="90" t="s">
        <v>209</v>
      </c>
      <c r="S5" s="90" t="s">
        <v>210</v>
      </c>
    </row>
    <row r="7" spans="1:19" x14ac:dyDescent="0.2">
      <c r="A7" t="s">
        <v>211</v>
      </c>
      <c r="B7" t="s">
        <v>212</v>
      </c>
      <c r="C7" t="s">
        <v>27</v>
      </c>
      <c r="D7" s="86" t="s">
        <v>213</v>
      </c>
      <c r="H7" s="86">
        <f>'[2]Exhibit B'!J19/24</f>
        <v>3312.09375</v>
      </c>
      <c r="I7" s="86">
        <f>+H7*24</f>
        <v>79490.25</v>
      </c>
      <c r="J7" s="86">
        <f>+J33</f>
        <v>3831.4176245210729</v>
      </c>
      <c r="K7" s="86">
        <f t="shared" ref="K7:K14" si="0">+I7+J7</f>
        <v>83321.667624521069</v>
      </c>
      <c r="L7" s="86">
        <f t="shared" ref="L7:L14" si="1">+K7*0.062</f>
        <v>5165.9433927203063</v>
      </c>
      <c r="M7" s="86">
        <f t="shared" ref="M7:M14" si="2">+K7*0.0145</f>
        <v>1208.1641805555555</v>
      </c>
      <c r="N7" s="86">
        <f t="shared" ref="N7:N13" si="3">7000*0.015</f>
        <v>105</v>
      </c>
      <c r="O7" s="86">
        <f t="shared" ref="O7:O13" si="4">7000*0.039</f>
        <v>273</v>
      </c>
      <c r="P7" s="86">
        <f t="shared" ref="P7:P14" si="5">SUM(L7:O7)</f>
        <v>6752.1075732758618</v>
      </c>
      <c r="Q7" s="86">
        <f>+'[1]Health Insurance'!K7</f>
        <v>9935.3100000000013</v>
      </c>
      <c r="R7" s="73">
        <f t="shared" ref="R7:R14" si="6">+K7+P7+Q7</f>
        <v>100009.08519779693</v>
      </c>
    </row>
    <row r="8" spans="1:19" x14ac:dyDescent="0.2">
      <c r="A8" t="s">
        <v>214</v>
      </c>
      <c r="B8" t="s">
        <v>215</v>
      </c>
      <c r="C8" s="40" t="s">
        <v>27</v>
      </c>
      <c r="D8" s="88" t="s">
        <v>213</v>
      </c>
      <c r="F8" s="86">
        <v>0</v>
      </c>
      <c r="H8" s="86">
        <f>'[2]Exhibit B'!J20/24</f>
        <v>1928.8552500000003</v>
      </c>
      <c r="I8" s="86">
        <f>+H8*24</f>
        <v>46292.526000000005</v>
      </c>
      <c r="J8" s="86">
        <f>+J43</f>
        <v>3284.0722495894911</v>
      </c>
      <c r="K8" s="86">
        <f>+I8+J8</f>
        <v>49576.598249589493</v>
      </c>
      <c r="L8" s="86">
        <f>+K8*0.062</f>
        <v>3073.7490914745485</v>
      </c>
      <c r="M8" s="86">
        <f>+K8*0.0145</f>
        <v>718.8606746190477</v>
      </c>
      <c r="N8" s="86">
        <f t="shared" si="3"/>
        <v>105</v>
      </c>
      <c r="O8" s="86">
        <f t="shared" si="4"/>
        <v>273</v>
      </c>
      <c r="P8" s="86">
        <f>SUM(L8:O8)</f>
        <v>4170.6097660935957</v>
      </c>
      <c r="Q8" s="86">
        <f>+'[1]Health Insurance'!K8</f>
        <v>9935.3100000000013</v>
      </c>
      <c r="R8" s="73">
        <f t="shared" si="6"/>
        <v>63682.51801568309</v>
      </c>
    </row>
    <row r="9" spans="1:19" x14ac:dyDescent="0.2">
      <c r="A9" t="s">
        <v>216</v>
      </c>
      <c r="B9" t="s">
        <v>217</v>
      </c>
      <c r="C9" s="58" t="s">
        <v>27</v>
      </c>
      <c r="D9" s="86">
        <v>14.18</v>
      </c>
      <c r="F9" s="86">
        <v>2088</v>
      </c>
      <c r="I9" s="86">
        <f t="shared" ref="I9:I14" si="7">(F9*D9)+(G9*E9)</f>
        <v>29607.84</v>
      </c>
      <c r="J9" s="86">
        <v>0</v>
      </c>
      <c r="K9" s="86">
        <f t="shared" si="0"/>
        <v>29607.84</v>
      </c>
      <c r="L9" s="86">
        <f>+K9*0.062</f>
        <v>1835.6860799999999</v>
      </c>
      <c r="M9" s="86">
        <f>+K9*0.0145</f>
        <v>429.31368000000003</v>
      </c>
      <c r="N9" s="86">
        <f t="shared" si="3"/>
        <v>105</v>
      </c>
      <c r="O9" s="86">
        <f t="shared" si="4"/>
        <v>273</v>
      </c>
      <c r="P9" s="86">
        <f>SUM(L9:O9)</f>
        <v>2642.9997600000002</v>
      </c>
      <c r="Q9" s="86">
        <f>+'[1]Health Insurance'!K9</f>
        <v>9935.3100000000013</v>
      </c>
      <c r="R9" s="73">
        <f t="shared" si="6"/>
        <v>42186.14976</v>
      </c>
    </row>
    <row r="10" spans="1:19" x14ac:dyDescent="0.2">
      <c r="A10" t="s">
        <v>218</v>
      </c>
      <c r="B10" t="s">
        <v>217</v>
      </c>
      <c r="C10" s="58">
        <v>42248</v>
      </c>
      <c r="D10" s="86">
        <v>12.08</v>
      </c>
      <c r="E10" s="108">
        <f>'[2]Exhibit B'!I22</f>
        <v>13.523900000000001</v>
      </c>
      <c r="F10" s="86">
        <f>+(86+87)*8</f>
        <v>1384</v>
      </c>
      <c r="G10" s="86">
        <f>88*8</f>
        <v>704</v>
      </c>
      <c r="I10" s="86">
        <f t="shared" si="7"/>
        <v>26239.545600000001</v>
      </c>
      <c r="K10" s="86">
        <f>+I10+J10</f>
        <v>26239.545600000001</v>
      </c>
      <c r="L10" s="86">
        <f>+K10*0.062</f>
        <v>1626.8518272000001</v>
      </c>
      <c r="M10" s="86">
        <f>+K10*0.0145</f>
        <v>380.47341120000004</v>
      </c>
      <c r="N10" s="86">
        <f t="shared" si="3"/>
        <v>105</v>
      </c>
      <c r="O10" s="86">
        <f t="shared" si="4"/>
        <v>273</v>
      </c>
      <c r="P10" s="86">
        <f>SUM(L10:O10)</f>
        <v>2385.3252384000002</v>
      </c>
      <c r="Q10" s="86">
        <f>+'[1]Health Insurance'!K10</f>
        <v>9935.3100000000013</v>
      </c>
      <c r="R10" s="73">
        <f>+K10+P10+Q10</f>
        <v>38560.180838400003</v>
      </c>
    </row>
    <row r="11" spans="1:19" x14ac:dyDescent="0.2">
      <c r="A11" t="s">
        <v>219</v>
      </c>
      <c r="B11" t="s">
        <v>217</v>
      </c>
      <c r="C11" s="40">
        <v>42095</v>
      </c>
      <c r="D11" s="86">
        <v>11.03</v>
      </c>
      <c r="E11" s="108">
        <f>'[2]Exhibit B'!H22</f>
        <v>12.442400000000001</v>
      </c>
      <c r="F11" s="86">
        <v>512</v>
      </c>
      <c r="G11" s="86">
        <v>1576</v>
      </c>
      <c r="I11" s="86">
        <f t="shared" si="7"/>
        <v>25256.582400000003</v>
      </c>
      <c r="J11" s="86">
        <v>0</v>
      </c>
      <c r="K11" s="86">
        <f t="shared" si="0"/>
        <v>25256.582400000003</v>
      </c>
      <c r="L11" s="86">
        <f t="shared" si="1"/>
        <v>1565.9081088000003</v>
      </c>
      <c r="M11" s="86">
        <f t="shared" si="2"/>
        <v>366.22044480000005</v>
      </c>
      <c r="N11" s="86">
        <f t="shared" si="3"/>
        <v>105</v>
      </c>
      <c r="O11" s="86">
        <f t="shared" si="4"/>
        <v>273</v>
      </c>
      <c r="P11" s="86">
        <f t="shared" si="5"/>
        <v>2310.1285536000005</v>
      </c>
      <c r="Q11" s="86">
        <f>+'[1]Health Insurance'!K11</f>
        <v>9935.3100000000013</v>
      </c>
      <c r="R11" s="73">
        <f t="shared" si="6"/>
        <v>37502.020953600004</v>
      </c>
    </row>
    <row r="12" spans="1:19" x14ac:dyDescent="0.2">
      <c r="A12" t="s">
        <v>220</v>
      </c>
      <c r="B12" t="s">
        <v>217</v>
      </c>
      <c r="C12" s="40">
        <v>42248</v>
      </c>
      <c r="D12" s="86">
        <v>11.03</v>
      </c>
      <c r="E12" s="108">
        <f>'[2]Exhibit B'!H22</f>
        <v>12.442400000000001</v>
      </c>
      <c r="F12" s="86">
        <v>1384</v>
      </c>
      <c r="G12" s="86">
        <v>704</v>
      </c>
      <c r="I12" s="86">
        <f t="shared" si="7"/>
        <v>24024.969599999997</v>
      </c>
      <c r="J12" s="86">
        <v>0</v>
      </c>
      <c r="K12" s="86">
        <f t="shared" si="0"/>
        <v>24024.969599999997</v>
      </c>
      <c r="L12" s="86">
        <f t="shared" si="1"/>
        <v>1489.5481151999998</v>
      </c>
      <c r="M12" s="86">
        <f>+K12*0.0145</f>
        <v>348.36205919999998</v>
      </c>
      <c r="N12" s="86">
        <f t="shared" si="3"/>
        <v>105</v>
      </c>
      <c r="O12" s="86">
        <f t="shared" si="4"/>
        <v>273</v>
      </c>
      <c r="P12" s="86">
        <f>SUM(L12:O12)</f>
        <v>2215.9101744</v>
      </c>
      <c r="Q12" s="86">
        <f>+'[1]Health Insurance'!K12</f>
        <v>9935.3100000000013</v>
      </c>
      <c r="R12" s="73">
        <f t="shared" si="6"/>
        <v>36176.189774400002</v>
      </c>
    </row>
    <row r="13" spans="1:19" x14ac:dyDescent="0.2">
      <c r="A13" t="s">
        <v>221</v>
      </c>
      <c r="B13" t="s">
        <v>222</v>
      </c>
      <c r="C13" s="40"/>
      <c r="D13" s="86">
        <v>22.5</v>
      </c>
      <c r="E13" s="108">
        <f>'[2]Exhibit B'!G24</f>
        <v>23.175000000000001</v>
      </c>
      <c r="F13" s="86">
        <f>25*12</f>
        <v>300</v>
      </c>
      <c r="I13" s="86">
        <f t="shared" si="7"/>
        <v>6750</v>
      </c>
      <c r="K13" s="86">
        <f t="shared" si="0"/>
        <v>6750</v>
      </c>
      <c r="L13" s="86">
        <f t="shared" si="1"/>
        <v>418.5</v>
      </c>
      <c r="M13" s="86">
        <f>+K13*0.0145</f>
        <v>97.875</v>
      </c>
      <c r="N13" s="86">
        <f t="shared" si="3"/>
        <v>105</v>
      </c>
      <c r="O13" s="86">
        <f t="shared" si="4"/>
        <v>273</v>
      </c>
      <c r="P13" s="86">
        <f>SUM(L13:O13)</f>
        <v>894.375</v>
      </c>
      <c r="Q13" s="86">
        <f>+'[1]Health Insurance'!K13</f>
        <v>0</v>
      </c>
      <c r="R13" s="73">
        <f t="shared" si="6"/>
        <v>7644.375</v>
      </c>
    </row>
    <row r="14" spans="1:19" x14ac:dyDescent="0.2">
      <c r="A14" t="s">
        <v>223</v>
      </c>
      <c r="B14" t="s">
        <v>224</v>
      </c>
      <c r="D14" s="86">
        <v>12</v>
      </c>
      <c r="E14" s="108">
        <f>'[2]Exhibit B'!G25</f>
        <v>12.36</v>
      </c>
      <c r="F14" s="86">
        <f>38*12</f>
        <v>456</v>
      </c>
      <c r="I14" s="86">
        <f t="shared" si="7"/>
        <v>5472</v>
      </c>
      <c r="J14" s="86">
        <v>0</v>
      </c>
      <c r="K14" s="86">
        <f t="shared" si="0"/>
        <v>5472</v>
      </c>
      <c r="L14" s="86">
        <f t="shared" si="1"/>
        <v>339.26400000000001</v>
      </c>
      <c r="M14" s="86">
        <f t="shared" si="2"/>
        <v>79.344000000000008</v>
      </c>
      <c r="N14" s="86">
        <f>+K14*0.015</f>
        <v>82.08</v>
      </c>
      <c r="O14" s="86">
        <f>+K14*0.039</f>
        <v>213.40799999999999</v>
      </c>
      <c r="P14" s="86">
        <f t="shared" si="5"/>
        <v>714.096</v>
      </c>
      <c r="Q14" s="86">
        <f>+'[1]Health Insurance'!K13</f>
        <v>0</v>
      </c>
      <c r="R14" s="73">
        <f t="shared" si="6"/>
        <v>6186.0959999999995</v>
      </c>
    </row>
    <row r="15" spans="1:19" x14ac:dyDescent="0.2">
      <c r="A15" t="s">
        <v>225</v>
      </c>
      <c r="L15" s="86">
        <f>(1200*5)*0.062</f>
        <v>372</v>
      </c>
      <c r="M15" s="86">
        <f>(1200*5)*0.0145</f>
        <v>87</v>
      </c>
      <c r="N15" s="86">
        <f>(1200*5)*0.015</f>
        <v>90</v>
      </c>
      <c r="O15" s="86">
        <f>(1200*5)*0.039</f>
        <v>234</v>
      </c>
      <c r="P15" s="86">
        <f>SUM(L15:O15)</f>
        <v>783</v>
      </c>
      <c r="R15" s="73"/>
    </row>
    <row r="17" spans="1:20" x14ac:dyDescent="0.2">
      <c r="I17" s="86">
        <f>SUM(I7:I16)</f>
        <v>243133.71360000002</v>
      </c>
      <c r="J17" s="86">
        <f>SUM(J7:J16)</f>
        <v>7115.4898741105644</v>
      </c>
      <c r="K17" s="86">
        <f>SUM(K7:K16)</f>
        <v>250249.20347411057</v>
      </c>
      <c r="L17" s="86">
        <f t="shared" ref="L17:R17" si="8">SUM(L7:L16)</f>
        <v>15887.450615394853</v>
      </c>
      <c r="M17" s="86">
        <f t="shared" si="8"/>
        <v>3715.6134503746034</v>
      </c>
      <c r="N17" s="86">
        <f t="shared" si="8"/>
        <v>907.08</v>
      </c>
      <c r="O17" s="86">
        <f t="shared" si="8"/>
        <v>2358.4079999999999</v>
      </c>
      <c r="P17" s="86">
        <f t="shared" si="8"/>
        <v>22868.552065769461</v>
      </c>
      <c r="Q17" s="86">
        <f t="shared" si="8"/>
        <v>59611.86</v>
      </c>
      <c r="R17" s="86">
        <f t="shared" si="8"/>
        <v>331946.61553988</v>
      </c>
      <c r="S17" s="86">
        <f>+'[1]Workers'' Compensation'!F35</f>
        <v>15000</v>
      </c>
      <c r="T17" s="73">
        <f>+R17+S17</f>
        <v>346946.61553988</v>
      </c>
    </row>
    <row r="18" spans="1:20" x14ac:dyDescent="0.2">
      <c r="R18" s="73"/>
      <c r="S18" s="91"/>
    </row>
    <row r="19" spans="1:20" x14ac:dyDescent="0.2">
      <c r="K19" s="86">
        <f>SUM(K9:K12)</f>
        <v>105128.9376</v>
      </c>
      <c r="R19" s="73"/>
      <c r="S19" s="91"/>
    </row>
    <row r="20" spans="1:20" x14ac:dyDescent="0.2">
      <c r="A20" t="s">
        <v>226</v>
      </c>
      <c r="R20" s="73"/>
      <c r="S20" s="91"/>
    </row>
    <row r="21" spans="1:20" x14ac:dyDescent="0.2">
      <c r="A21" t="s">
        <v>227</v>
      </c>
      <c r="R21" s="73"/>
      <c r="S21" s="91"/>
    </row>
    <row r="22" spans="1:20" x14ac:dyDescent="0.2">
      <c r="A22" t="s">
        <v>228</v>
      </c>
      <c r="R22" s="73"/>
      <c r="S22" s="91"/>
    </row>
    <row r="23" spans="1:20" x14ac:dyDescent="0.2">
      <c r="A23" t="s">
        <v>229</v>
      </c>
      <c r="R23" s="73"/>
      <c r="S23" s="91"/>
    </row>
    <row r="24" spans="1:20" x14ac:dyDescent="0.2">
      <c r="A24" t="s">
        <v>230</v>
      </c>
    </row>
    <row r="25" spans="1:20" x14ac:dyDescent="0.2">
      <c r="A25" t="s">
        <v>231</v>
      </c>
    </row>
    <row r="26" spans="1:20" x14ac:dyDescent="0.2">
      <c r="A26" t="s">
        <v>232</v>
      </c>
    </row>
    <row r="27" spans="1:20" x14ac:dyDescent="0.2">
      <c r="A27" t="s">
        <v>233</v>
      </c>
    </row>
    <row r="29" spans="1:20" x14ac:dyDescent="0.2">
      <c r="I29" s="88"/>
    </row>
    <row r="30" spans="1:20" x14ac:dyDescent="0.2">
      <c r="A30" s="22" t="s">
        <v>234</v>
      </c>
      <c r="I30" s="88" t="s">
        <v>235</v>
      </c>
    </row>
    <row r="31" spans="1:20" x14ac:dyDescent="0.2">
      <c r="D31" s="92" t="s">
        <v>122</v>
      </c>
      <c r="E31" s="92"/>
      <c r="F31" s="92" t="s">
        <v>236</v>
      </c>
      <c r="G31" s="92"/>
      <c r="H31" s="92"/>
      <c r="I31" s="88" t="s">
        <v>237</v>
      </c>
      <c r="J31" s="86">
        <v>3500</v>
      </c>
    </row>
    <row r="32" spans="1:20" x14ac:dyDescent="0.2">
      <c r="A32" t="s">
        <v>238</v>
      </c>
      <c r="D32" s="93">
        <v>6.2E-2</v>
      </c>
      <c r="E32" s="93"/>
      <c r="F32" s="86">
        <v>113700</v>
      </c>
    </row>
    <row r="33" spans="1:10" x14ac:dyDescent="0.2">
      <c r="A33" t="s">
        <v>204</v>
      </c>
      <c r="D33" s="93">
        <v>1.4500000000000001E-2</v>
      </c>
      <c r="E33" s="93"/>
      <c r="F33" s="94" t="s">
        <v>239</v>
      </c>
      <c r="G33" s="94"/>
      <c r="H33" s="94"/>
      <c r="I33" s="86" t="s">
        <v>240</v>
      </c>
      <c r="J33" s="86">
        <f>J31/(1-0.062-0.0145-0.01)</f>
        <v>3831.4176245210729</v>
      </c>
    </row>
    <row r="34" spans="1:10" x14ac:dyDescent="0.2">
      <c r="A34" t="s">
        <v>241</v>
      </c>
      <c r="D34" s="93">
        <v>1.4999999999999999E-2</v>
      </c>
      <c r="E34" s="93"/>
      <c r="F34" s="86">
        <v>7000</v>
      </c>
      <c r="I34" s="86" t="s">
        <v>242</v>
      </c>
      <c r="J34" s="86">
        <f>ROUND(-J33*0.062,2)</f>
        <v>-237.55</v>
      </c>
    </row>
    <row r="35" spans="1:10" x14ac:dyDescent="0.2">
      <c r="A35" t="s">
        <v>243</v>
      </c>
      <c r="D35" s="93">
        <v>3.7999999999999999E-2</v>
      </c>
      <c r="E35" s="93"/>
      <c r="F35" s="86">
        <v>7000</v>
      </c>
      <c r="I35" s="86" t="s">
        <v>244</v>
      </c>
      <c r="J35" s="86">
        <f>ROUND(-J33*0.0145,2)</f>
        <v>-55.56</v>
      </c>
    </row>
    <row r="36" spans="1:10" x14ac:dyDescent="0.2">
      <c r="A36" t="s">
        <v>245</v>
      </c>
      <c r="D36" s="93">
        <v>1E-3</v>
      </c>
      <c r="E36" s="93"/>
      <c r="F36" s="86">
        <v>7000</v>
      </c>
      <c r="I36" s="86" t="s">
        <v>246</v>
      </c>
      <c r="J36" s="86">
        <f>ROUND(-J33*0.01,2)</f>
        <v>-38.31</v>
      </c>
    </row>
    <row r="37" spans="1:10" x14ac:dyDescent="0.2">
      <c r="J37" s="86">
        <f>SUM(J33:J36)</f>
        <v>3499.9976245210728</v>
      </c>
    </row>
    <row r="40" spans="1:10" x14ac:dyDescent="0.2">
      <c r="I40" s="86" t="s">
        <v>247</v>
      </c>
    </row>
    <row r="41" spans="1:10" x14ac:dyDescent="0.2">
      <c r="I41" s="88" t="s">
        <v>237</v>
      </c>
      <c r="J41" s="86">
        <v>3000</v>
      </c>
    </row>
    <row r="43" spans="1:10" x14ac:dyDescent="0.2">
      <c r="I43" s="86" t="s">
        <v>240</v>
      </c>
      <c r="J43" s="86">
        <f>J41/(1-0.062-0.0145-0.01)</f>
        <v>3284.0722495894911</v>
      </c>
    </row>
    <row r="44" spans="1:10" x14ac:dyDescent="0.2">
      <c r="I44" s="86" t="s">
        <v>242</v>
      </c>
      <c r="J44" s="86">
        <f>ROUND(-J43*0.062,2)</f>
        <v>-203.61</v>
      </c>
    </row>
    <row r="45" spans="1:10" x14ac:dyDescent="0.2">
      <c r="I45" s="86" t="s">
        <v>244</v>
      </c>
      <c r="J45" s="86">
        <f>ROUND(-J43*0.0145,2)</f>
        <v>-47.62</v>
      </c>
    </row>
    <row r="46" spans="1:10" x14ac:dyDescent="0.2">
      <c r="I46" s="86" t="s">
        <v>246</v>
      </c>
      <c r="J46" s="86">
        <f>ROUND(-J43*0.01,2)</f>
        <v>-32.840000000000003</v>
      </c>
    </row>
    <row r="47" spans="1:10" x14ac:dyDescent="0.2">
      <c r="J47" s="86">
        <f>SUM(J43:J46)</f>
        <v>3000.0022495894909</v>
      </c>
    </row>
  </sheetData>
  <pageMargins left="0.5" right="0.5" top="0.5" bottom="0.5" header="0.5" footer="0.5"/>
  <pageSetup scale="85" fitToWidth="0" orientation="landscape" r:id="rId1"/>
  <headerFooter alignWithMargins="0">
    <oddFooter>&amp;L&amp;9&amp;D
&amp;F</oddFooter>
  </headerFooter>
  <colBreaks count="1" manualBreakCount="1">
    <brk id="11" min="6" max="46"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B20" sqref="B20"/>
    </sheetView>
  </sheetViews>
  <sheetFormatPr defaultRowHeight="15" x14ac:dyDescent="0.2"/>
  <cols>
    <col min="1" max="1" width="9.140625" style="37"/>
    <col min="2" max="2" width="63" style="37" customWidth="1"/>
    <col min="3" max="3" width="11.5703125" style="37" bestFit="1" customWidth="1"/>
    <col min="4" max="16384" width="9.140625" style="37"/>
  </cols>
  <sheetData>
    <row r="1" spans="1:3" x14ac:dyDescent="0.2">
      <c r="C1" s="37" t="s">
        <v>327</v>
      </c>
    </row>
    <row r="2" spans="1:3" x14ac:dyDescent="0.2">
      <c r="A2" s="37" t="s">
        <v>318</v>
      </c>
      <c r="C2" s="117">
        <f>'Exhibit A, Budget Totals'!J21</f>
        <v>590275</v>
      </c>
    </row>
    <row r="3" spans="1:3" x14ac:dyDescent="0.2">
      <c r="A3" s="37" t="s">
        <v>321</v>
      </c>
      <c r="C3" s="117">
        <f>'Exhibit A, Budget Totals'!F4</f>
        <v>589725.56302364543</v>
      </c>
    </row>
    <row r="4" spans="1:3" ht="15.75" thickBot="1" x14ac:dyDescent="0.25">
      <c r="A4" s="170" t="s">
        <v>323</v>
      </c>
      <c r="B4" s="170"/>
      <c r="C4" s="118">
        <f>C2-C3</f>
        <v>549.4369763545692</v>
      </c>
    </row>
    <row r="5" spans="1:3" ht="15.75" thickTop="1" x14ac:dyDescent="0.2"/>
    <row r="6" spans="1:3" x14ac:dyDescent="0.2">
      <c r="A6" s="171" t="s">
        <v>324</v>
      </c>
      <c r="B6" s="171"/>
      <c r="C6" s="117">
        <f>'Exhibit A, Budget Totals'!E7</f>
        <v>309324.09030968789</v>
      </c>
    </row>
    <row r="8" spans="1:3" x14ac:dyDescent="0.2">
      <c r="A8" s="171" t="s">
        <v>328</v>
      </c>
      <c r="B8" s="171"/>
      <c r="C8" s="117">
        <f>C6+C4</f>
        <v>309873.52728604246</v>
      </c>
    </row>
    <row r="10" spans="1:3" x14ac:dyDescent="0.2">
      <c r="A10" s="37" t="s">
        <v>329</v>
      </c>
      <c r="C10" s="119">
        <f>(C3-'Exhibit A, Budget Totals'!H95)/'Exhibit A, Budget Totals'!J95</f>
        <v>1.5169027060281517E-2</v>
      </c>
    </row>
    <row r="11" spans="1:3" x14ac:dyDescent="0.2">
      <c r="A11" s="171" t="s">
        <v>330</v>
      </c>
      <c r="B11" s="171"/>
      <c r="C11" s="119">
        <v>2.5000000000000001E-2</v>
      </c>
    </row>
  </sheetData>
  <mergeCells count="4">
    <mergeCell ref="A4:B4"/>
    <mergeCell ref="A6:B6"/>
    <mergeCell ref="A8:B8"/>
    <mergeCell ref="A11:B11"/>
  </mergeCells>
  <printOptions horizontalCentered="1"/>
  <pageMargins left="0.7" right="0.7" top="0.75" bottom="0.75" header="0.3" footer="0.3"/>
  <pageSetup orientation="portrait" horizontalDpi="4294967293" verticalDpi="0" r:id="rId1"/>
  <headerFooter>
    <oddHeader>&amp;C&amp;12SADDLE CREEK COMMUNITY SERVICES DISTRICT
DRAFT 2015 BUDGET SUMMARY</oddHeader>
    <oddFooter>&amp;RPage &amp;Pof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workbookViewId="0">
      <selection activeCell="G17" sqref="G17"/>
    </sheetView>
  </sheetViews>
  <sheetFormatPr defaultRowHeight="12.75" x14ac:dyDescent="0.2"/>
  <cols>
    <col min="1" max="1" width="3.5703125" customWidth="1"/>
    <col min="3" max="3" width="12.28515625" customWidth="1"/>
    <col min="4" max="4" width="10.7109375" customWidth="1"/>
    <col min="5" max="5" width="8.7109375" customWidth="1"/>
    <col min="6" max="6" width="4.28515625" customWidth="1"/>
    <col min="7" max="10" width="8.85546875" customWidth="1"/>
    <col min="11" max="11" width="7.7109375" customWidth="1"/>
    <col min="12" max="12" width="10.7109375" bestFit="1" customWidth="1"/>
  </cols>
  <sheetData>
    <row r="1" spans="1:12" x14ac:dyDescent="0.2">
      <c r="A1" s="162" t="s">
        <v>78</v>
      </c>
      <c r="B1" s="162"/>
      <c r="C1" s="162"/>
      <c r="D1" s="162"/>
      <c r="E1" s="162"/>
      <c r="F1" s="162"/>
      <c r="G1" s="162"/>
      <c r="H1" s="162"/>
      <c r="I1" s="162"/>
      <c r="J1" s="162"/>
      <c r="K1" s="162"/>
      <c r="L1" s="162"/>
    </row>
    <row r="2" spans="1:12" x14ac:dyDescent="0.2">
      <c r="A2" s="162" t="s">
        <v>65</v>
      </c>
      <c r="B2" s="162"/>
      <c r="C2" s="162"/>
      <c r="D2" s="162"/>
      <c r="E2" s="162"/>
      <c r="F2" s="162"/>
      <c r="G2" s="162"/>
      <c r="H2" s="162"/>
      <c r="I2" s="162"/>
      <c r="J2" s="162"/>
      <c r="K2" s="162"/>
      <c r="L2" s="162"/>
    </row>
    <row r="3" spans="1:12" x14ac:dyDescent="0.2">
      <c r="A3" s="163" t="s">
        <v>181</v>
      </c>
      <c r="B3" s="164"/>
      <c r="C3" s="164"/>
      <c r="D3" s="164"/>
      <c r="E3" s="164"/>
      <c r="F3" s="164"/>
      <c r="G3" s="164"/>
      <c r="H3" s="164"/>
      <c r="I3" s="164"/>
      <c r="J3" s="164"/>
      <c r="K3" s="164"/>
      <c r="L3" s="164"/>
    </row>
    <row r="5" spans="1:12" ht="13.5" thickBot="1" x14ac:dyDescent="0.25">
      <c r="B5" s="105" t="s">
        <v>29</v>
      </c>
      <c r="C5" s="105" t="s">
        <v>28</v>
      </c>
      <c r="D5" s="30"/>
      <c r="E5" s="30"/>
      <c r="H5" s="167" t="s">
        <v>293</v>
      </c>
      <c r="I5" s="167"/>
      <c r="J5" s="167"/>
      <c r="K5" s="104"/>
    </row>
    <row r="7" spans="1:12" x14ac:dyDescent="0.2">
      <c r="B7" s="6" t="s">
        <v>75</v>
      </c>
      <c r="H7" s="6" t="s">
        <v>77</v>
      </c>
    </row>
    <row r="8" spans="1:12" x14ac:dyDescent="0.2">
      <c r="B8" s="6" t="s">
        <v>76</v>
      </c>
      <c r="H8" s="13">
        <v>57000</v>
      </c>
      <c r="I8" s="154" t="s">
        <v>294</v>
      </c>
      <c r="J8" s="154"/>
      <c r="K8" s="154"/>
    </row>
    <row r="9" spans="1:12" x14ac:dyDescent="0.2">
      <c r="A9" s="12"/>
      <c r="B9" s="12"/>
      <c r="C9" s="12"/>
      <c r="D9" s="12"/>
      <c r="E9" s="12"/>
      <c r="F9" s="12"/>
      <c r="G9" s="12"/>
      <c r="H9" s="12"/>
      <c r="I9" s="12"/>
      <c r="J9" s="12"/>
      <c r="K9" s="12"/>
      <c r="L9" s="30"/>
    </row>
    <row r="10" spans="1:12" x14ac:dyDescent="0.2">
      <c r="C10" s="162" t="s">
        <v>356</v>
      </c>
      <c r="D10" s="162"/>
      <c r="E10" s="162"/>
      <c r="F10" s="162"/>
      <c r="G10" s="162"/>
      <c r="H10" s="162"/>
      <c r="I10" s="162"/>
    </row>
    <row r="11" spans="1:12" x14ac:dyDescent="0.2">
      <c r="G11" s="7" t="s">
        <v>23</v>
      </c>
      <c r="H11" s="7" t="s">
        <v>24</v>
      </c>
      <c r="I11" s="7" t="s">
        <v>25</v>
      </c>
      <c r="J11" s="7" t="s">
        <v>26</v>
      </c>
      <c r="K11" s="3"/>
    </row>
    <row r="12" spans="1:12" ht="25.5" x14ac:dyDescent="0.2">
      <c r="B12" s="9" t="s">
        <v>72</v>
      </c>
      <c r="D12" s="98" t="s">
        <v>285</v>
      </c>
      <c r="E12" s="98" t="s">
        <v>286</v>
      </c>
      <c r="G12" s="8" t="s">
        <v>68</v>
      </c>
      <c r="H12" s="8" t="s">
        <v>71</v>
      </c>
      <c r="I12" s="8" t="s">
        <v>70</v>
      </c>
      <c r="J12" s="8" t="s">
        <v>69</v>
      </c>
      <c r="K12" s="10"/>
    </row>
    <row r="13" spans="1:12" x14ac:dyDescent="0.2">
      <c r="A13" t="s">
        <v>0</v>
      </c>
    </row>
    <row r="14" spans="1:12" x14ac:dyDescent="0.2">
      <c r="B14" s="22" t="s">
        <v>287</v>
      </c>
      <c r="D14">
        <v>1</v>
      </c>
      <c r="E14">
        <v>1</v>
      </c>
      <c r="F14" s="11" t="s">
        <v>73</v>
      </c>
      <c r="G14" s="1">
        <v>68495</v>
      </c>
      <c r="H14" s="1">
        <v>72100</v>
      </c>
      <c r="I14" s="1">
        <v>75705</v>
      </c>
      <c r="J14" s="1">
        <v>79490.25</v>
      </c>
      <c r="K14" s="115">
        <f>(J14-G14)/G14</f>
        <v>0.16052631578947368</v>
      </c>
    </row>
    <row r="15" spans="1:12" x14ac:dyDescent="0.2">
      <c r="B15" s="22" t="s">
        <v>288</v>
      </c>
      <c r="D15">
        <v>1</v>
      </c>
      <c r="E15">
        <v>1</v>
      </c>
      <c r="F15" s="11" t="s">
        <v>73</v>
      </c>
      <c r="G15" s="1">
        <v>39518.01</v>
      </c>
      <c r="H15" s="1">
        <v>41776.182000000001</v>
      </c>
      <c r="I15" s="1">
        <v>44034.354000000007</v>
      </c>
      <c r="J15" s="1">
        <v>46292.526000000005</v>
      </c>
      <c r="K15" s="115">
        <f t="shared" ref="K15:K20" si="0">(J15-G15)/G15</f>
        <v>0.17142857142857151</v>
      </c>
    </row>
    <row r="16" spans="1:12" x14ac:dyDescent="0.2">
      <c r="B16" s="22" t="s">
        <v>289</v>
      </c>
      <c r="D16">
        <v>1</v>
      </c>
      <c r="E16">
        <v>0</v>
      </c>
      <c r="F16" s="11" t="s">
        <v>74</v>
      </c>
      <c r="G16" s="5">
        <f>G17*1.1</f>
        <v>16.065940000000001</v>
      </c>
      <c r="H16" s="5">
        <v>16.768400000000003</v>
      </c>
      <c r="I16" s="5">
        <v>17.849899999999998</v>
      </c>
      <c r="J16" s="5">
        <v>18.9314</v>
      </c>
      <c r="K16" s="115">
        <f t="shared" si="0"/>
        <v>0.17835619951275797</v>
      </c>
      <c r="L16" s="5"/>
    </row>
    <row r="17" spans="1:14" x14ac:dyDescent="0.2">
      <c r="B17" s="22" t="s">
        <v>290</v>
      </c>
      <c r="D17">
        <v>3</v>
      </c>
      <c r="E17">
        <v>4</v>
      </c>
      <c r="F17" s="11" t="s">
        <v>74</v>
      </c>
      <c r="G17" s="5">
        <f>14.18*1.03</f>
        <v>14.605399999999999</v>
      </c>
      <c r="H17" s="5">
        <f>G17*1.0951</f>
        <v>15.99437354</v>
      </c>
      <c r="I17" s="5">
        <f>H17*1.0868</f>
        <v>17.382685163272001</v>
      </c>
      <c r="J17" s="5">
        <f>I17*1.0806</f>
        <v>18.783729587431726</v>
      </c>
      <c r="K17" s="115">
        <f t="shared" si="0"/>
        <v>0.28608114720800021</v>
      </c>
    </row>
    <row r="18" spans="1:14" x14ac:dyDescent="0.2">
      <c r="B18" s="22" t="s">
        <v>291</v>
      </c>
      <c r="D18">
        <v>0</v>
      </c>
      <c r="E18">
        <v>0</v>
      </c>
      <c r="F18" s="11" t="s">
        <v>74</v>
      </c>
      <c r="G18" s="5">
        <v>11.360899999999999</v>
      </c>
      <c r="H18" s="106" t="s">
        <v>295</v>
      </c>
      <c r="I18" s="106" t="s">
        <v>295</v>
      </c>
      <c r="J18" s="106" t="s">
        <v>295</v>
      </c>
      <c r="K18" s="115"/>
    </row>
    <row r="19" spans="1:14" x14ac:dyDescent="0.2">
      <c r="B19" s="154" t="s">
        <v>222</v>
      </c>
      <c r="C19" s="154"/>
      <c r="D19">
        <v>0</v>
      </c>
      <c r="E19">
        <v>1</v>
      </c>
      <c r="F19" s="100" t="s">
        <v>74</v>
      </c>
      <c r="G19" s="5">
        <v>23.175000000000001</v>
      </c>
      <c r="H19" s="5">
        <v>24.333750000000002</v>
      </c>
      <c r="I19" s="5">
        <v>25.550437500000005</v>
      </c>
      <c r="J19" s="5">
        <v>26.827959375000006</v>
      </c>
      <c r="K19" s="115">
        <f t="shared" si="0"/>
        <v>0.15762500000000024</v>
      </c>
      <c r="L19" s="99"/>
      <c r="M19" s="99"/>
      <c r="N19" s="99"/>
    </row>
    <row r="20" spans="1:14" x14ac:dyDescent="0.2">
      <c r="A20" s="12"/>
      <c r="B20" s="159" t="s">
        <v>292</v>
      </c>
      <c r="C20" s="159"/>
      <c r="D20" s="12">
        <v>1</v>
      </c>
      <c r="E20" s="12">
        <v>1</v>
      </c>
      <c r="F20" s="130" t="s">
        <v>74</v>
      </c>
      <c r="G20" s="131">
        <v>12.36</v>
      </c>
      <c r="H20" s="131">
        <f>G20*1.0951</f>
        <v>13.535435999999999</v>
      </c>
      <c r="I20" s="131">
        <f>H20*1.0868</f>
        <v>14.710311844799998</v>
      </c>
      <c r="J20" s="131">
        <f>I20*1.0806</f>
        <v>15.895962979490879</v>
      </c>
      <c r="K20" s="132">
        <f t="shared" si="0"/>
        <v>0.28608114720799993</v>
      </c>
    </row>
    <row r="21" spans="1:14" ht="21.75" customHeight="1" x14ac:dyDescent="0.2">
      <c r="B21" s="6" t="s">
        <v>79</v>
      </c>
    </row>
    <row r="22" spans="1:14" x14ac:dyDescent="0.2">
      <c r="A22" s="30"/>
      <c r="B22" s="30"/>
      <c r="C22" s="30"/>
      <c r="D22" s="30"/>
      <c r="E22" s="30"/>
      <c r="F22" s="30"/>
      <c r="G22" s="30"/>
      <c r="H22" s="30"/>
      <c r="I22" s="30"/>
      <c r="J22" s="30"/>
      <c r="K22" s="30"/>
      <c r="L22" s="30"/>
    </row>
    <row r="23" spans="1:14" ht="12.75" customHeight="1" x14ac:dyDescent="0.2">
      <c r="A23" s="63"/>
      <c r="B23" s="165"/>
      <c r="C23" s="165"/>
      <c r="D23" s="165"/>
      <c r="E23" s="165"/>
      <c r="F23" s="165"/>
      <c r="G23" s="165"/>
      <c r="H23" s="165"/>
      <c r="I23" s="165"/>
      <c r="J23" s="165"/>
      <c r="K23" s="165"/>
    </row>
    <row r="24" spans="1:14" x14ac:dyDescent="0.2">
      <c r="A24" s="64"/>
      <c r="B24" s="165"/>
      <c r="C24" s="165"/>
      <c r="D24" s="165"/>
      <c r="E24" s="165"/>
      <c r="F24" s="165"/>
      <c r="G24" s="165"/>
      <c r="H24" s="165"/>
      <c r="I24" s="165"/>
      <c r="J24" s="165"/>
      <c r="K24" s="165"/>
      <c r="M24" s="6"/>
    </row>
    <row r="25" spans="1:14" x14ac:dyDescent="0.2">
      <c r="A25" s="64"/>
      <c r="B25" s="165"/>
      <c r="C25" s="165"/>
      <c r="D25" s="165"/>
      <c r="E25" s="165"/>
      <c r="F25" s="165"/>
      <c r="G25" s="165"/>
      <c r="H25" s="165"/>
      <c r="I25" s="165"/>
      <c r="J25" s="165"/>
      <c r="K25" s="165"/>
      <c r="M25" s="6"/>
    </row>
    <row r="26" spans="1:14" x14ac:dyDescent="0.2">
      <c r="A26" s="64"/>
      <c r="B26" s="165"/>
      <c r="C26" s="165"/>
      <c r="D26" s="165"/>
      <c r="E26" s="165"/>
      <c r="F26" s="165"/>
      <c r="G26" s="165"/>
      <c r="H26" s="165"/>
      <c r="I26" s="165"/>
      <c r="J26" s="165"/>
      <c r="K26" s="165"/>
      <c r="M26" s="6"/>
    </row>
    <row r="27" spans="1:14" x14ac:dyDescent="0.2">
      <c r="A27" s="64"/>
      <c r="B27" s="165"/>
      <c r="C27" s="165"/>
      <c r="D27" s="165"/>
      <c r="E27" s="165"/>
      <c r="F27" s="165"/>
      <c r="G27" s="165"/>
      <c r="H27" s="165"/>
      <c r="I27" s="165"/>
      <c r="J27" s="165"/>
      <c r="K27" s="165"/>
      <c r="M27" s="6"/>
    </row>
    <row r="28" spans="1:14" ht="12.75" customHeight="1" x14ac:dyDescent="0.2">
      <c r="A28" s="63"/>
      <c r="B28" s="166"/>
      <c r="C28" s="166"/>
      <c r="D28" s="166"/>
      <c r="E28" s="166"/>
      <c r="F28" s="166"/>
      <c r="G28" s="166"/>
      <c r="H28" s="166"/>
      <c r="I28" s="166"/>
      <c r="J28" s="166"/>
      <c r="K28" s="166"/>
      <c r="N28" s="6"/>
    </row>
    <row r="29" spans="1:14" x14ac:dyDescent="0.2">
      <c r="A29" s="64"/>
      <c r="B29" s="166"/>
      <c r="C29" s="166"/>
      <c r="D29" s="166"/>
      <c r="E29" s="166"/>
      <c r="F29" s="166"/>
      <c r="G29" s="166"/>
      <c r="H29" s="166"/>
      <c r="I29" s="166"/>
      <c r="J29" s="166"/>
      <c r="K29" s="166"/>
      <c r="N29" s="6"/>
    </row>
    <row r="30" spans="1:14" x14ac:dyDescent="0.2">
      <c r="A30" s="64"/>
      <c r="B30" s="166"/>
      <c r="C30" s="166"/>
      <c r="D30" s="166"/>
      <c r="E30" s="166"/>
      <c r="F30" s="166"/>
      <c r="G30" s="166"/>
      <c r="H30" s="166"/>
      <c r="I30" s="166"/>
      <c r="J30" s="166"/>
      <c r="K30" s="166"/>
      <c r="N30" s="6"/>
    </row>
    <row r="31" spans="1:14" ht="12.75" customHeight="1" x14ac:dyDescent="0.2">
      <c r="A31" s="64"/>
      <c r="B31" s="166"/>
      <c r="C31" s="166"/>
      <c r="D31" s="166"/>
      <c r="E31" s="166"/>
      <c r="F31" s="166"/>
      <c r="G31" s="166"/>
      <c r="H31" s="166"/>
      <c r="I31" s="166"/>
      <c r="J31" s="166"/>
      <c r="K31" s="166"/>
      <c r="N31" s="6"/>
    </row>
    <row r="32" spans="1:14" ht="12.75" customHeight="1" x14ac:dyDescent="0.2">
      <c r="A32" s="64"/>
      <c r="B32" s="62"/>
      <c r="C32" s="62"/>
      <c r="D32" s="84"/>
      <c r="E32" s="84"/>
      <c r="F32" s="62"/>
      <c r="G32" s="62"/>
      <c r="H32" s="62"/>
      <c r="I32" s="62"/>
      <c r="J32" s="62"/>
      <c r="K32" s="62"/>
      <c r="N32" s="6"/>
    </row>
    <row r="33" spans="1:14" x14ac:dyDescent="0.2">
      <c r="A33" s="63"/>
      <c r="B33" s="166"/>
      <c r="C33" s="166"/>
      <c r="D33" s="166"/>
      <c r="E33" s="166"/>
      <c r="F33" s="166"/>
      <c r="G33" s="166"/>
      <c r="H33" s="166"/>
      <c r="I33" s="166"/>
      <c r="J33" s="166"/>
      <c r="K33" s="166"/>
    </row>
    <row r="34" spans="1:14" x14ac:dyDescent="0.2">
      <c r="A34" s="64"/>
      <c r="B34" s="166"/>
      <c r="C34" s="166"/>
      <c r="D34" s="166"/>
      <c r="E34" s="166"/>
      <c r="F34" s="166"/>
      <c r="G34" s="166"/>
      <c r="H34" s="166"/>
      <c r="I34" s="166"/>
      <c r="J34" s="166"/>
      <c r="K34" s="166"/>
    </row>
    <row r="35" spans="1:14" x14ac:dyDescent="0.2">
      <c r="A35" s="64"/>
      <c r="B35" s="166"/>
      <c r="C35" s="166"/>
      <c r="D35" s="166"/>
      <c r="E35" s="166"/>
      <c r="F35" s="166"/>
      <c r="G35" s="166"/>
      <c r="H35" s="166"/>
      <c r="I35" s="166"/>
      <c r="J35" s="166"/>
      <c r="K35" s="166"/>
    </row>
    <row r="36" spans="1:14" x14ac:dyDescent="0.2">
      <c r="A36" s="64"/>
      <c r="B36" s="166"/>
      <c r="C36" s="166"/>
      <c r="D36" s="166"/>
      <c r="E36" s="166"/>
      <c r="F36" s="166"/>
      <c r="G36" s="166"/>
      <c r="H36" s="166"/>
      <c r="I36" s="166"/>
      <c r="J36" s="166"/>
      <c r="K36" s="166"/>
    </row>
    <row r="37" spans="1:14" x14ac:dyDescent="0.2">
      <c r="A37" s="64"/>
      <c r="B37" s="62"/>
      <c r="C37" s="62"/>
      <c r="D37" s="84"/>
      <c r="E37" s="84"/>
      <c r="F37" s="62"/>
      <c r="G37" s="62"/>
      <c r="H37" s="62"/>
      <c r="I37" s="62"/>
      <c r="J37" s="62"/>
      <c r="K37" s="62"/>
    </row>
    <row r="38" spans="1:14" ht="12.75" customHeight="1" x14ac:dyDescent="0.2">
      <c r="A38" s="63"/>
      <c r="B38" s="161"/>
      <c r="C38" s="161"/>
      <c r="D38" s="161"/>
      <c r="E38" s="161"/>
      <c r="F38" s="161"/>
      <c r="G38" s="161"/>
      <c r="H38" s="161"/>
      <c r="I38" s="161"/>
      <c r="J38" s="161"/>
      <c r="K38" s="161"/>
    </row>
    <row r="39" spans="1:14" x14ac:dyDescent="0.2">
      <c r="A39" s="64"/>
      <c r="B39" s="161"/>
      <c r="C39" s="161"/>
      <c r="D39" s="161"/>
      <c r="E39" s="161"/>
      <c r="F39" s="161"/>
      <c r="G39" s="161"/>
      <c r="H39" s="161"/>
      <c r="I39" s="161"/>
      <c r="J39" s="161"/>
      <c r="K39" s="161"/>
    </row>
    <row r="40" spans="1:14" x14ac:dyDescent="0.2">
      <c r="A40" s="64"/>
      <c r="B40" s="65"/>
      <c r="C40" s="65"/>
      <c r="D40" s="83"/>
      <c r="E40" s="83"/>
      <c r="F40" s="65"/>
      <c r="G40" s="65"/>
      <c r="H40" s="65"/>
      <c r="I40" s="65"/>
      <c r="J40" s="65"/>
      <c r="K40" s="65"/>
    </row>
    <row r="41" spans="1:14" ht="12.75" customHeight="1" x14ac:dyDescent="0.2">
      <c r="A41" s="63"/>
      <c r="B41" s="161"/>
      <c r="C41" s="161"/>
      <c r="D41" s="161"/>
      <c r="E41" s="161"/>
      <c r="F41" s="161"/>
      <c r="G41" s="161"/>
      <c r="H41" s="161"/>
      <c r="I41" s="161"/>
      <c r="J41" s="161"/>
      <c r="K41" s="161"/>
      <c r="N41" s="6"/>
    </row>
    <row r="42" spans="1:14" x14ac:dyDescent="0.2">
      <c r="A42" s="64"/>
      <c r="B42" s="161"/>
      <c r="C42" s="161"/>
      <c r="D42" s="161"/>
      <c r="E42" s="161"/>
      <c r="F42" s="161"/>
      <c r="G42" s="161"/>
      <c r="H42" s="161"/>
      <c r="I42" s="161"/>
      <c r="J42" s="161"/>
      <c r="K42" s="161"/>
      <c r="N42" s="6"/>
    </row>
    <row r="43" spans="1:14" x14ac:dyDescent="0.2">
      <c r="A43" s="64"/>
      <c r="B43" s="161"/>
      <c r="C43" s="161"/>
      <c r="D43" s="161"/>
      <c r="E43" s="161"/>
      <c r="F43" s="161"/>
      <c r="G43" s="161"/>
      <c r="H43" s="161"/>
      <c r="I43" s="161"/>
      <c r="J43" s="161"/>
      <c r="K43" s="161"/>
      <c r="N43" s="6"/>
    </row>
    <row r="45" spans="1:14" x14ac:dyDescent="0.2">
      <c r="A45" s="100"/>
      <c r="B45" s="160"/>
      <c r="C45" s="160"/>
      <c r="D45" s="160"/>
      <c r="E45" s="160"/>
      <c r="F45" s="160"/>
      <c r="G45" s="160"/>
      <c r="H45" s="160"/>
      <c r="I45" s="160"/>
      <c r="J45" s="160"/>
      <c r="K45" s="160"/>
    </row>
    <row r="46" spans="1:14" x14ac:dyDescent="0.2">
      <c r="B46" s="160"/>
      <c r="C46" s="160"/>
      <c r="D46" s="160"/>
      <c r="E46" s="160"/>
      <c r="F46" s="160"/>
      <c r="G46" s="160"/>
      <c r="H46" s="160"/>
      <c r="I46" s="160"/>
      <c r="J46" s="160"/>
      <c r="K46" s="160"/>
    </row>
    <row r="47" spans="1:14" ht="27.75" customHeight="1" x14ac:dyDescent="0.2">
      <c r="B47" s="160"/>
      <c r="C47" s="160"/>
      <c r="D47" s="160"/>
      <c r="E47" s="160"/>
      <c r="F47" s="160"/>
      <c r="G47" s="160"/>
      <c r="H47" s="160"/>
      <c r="I47" s="160"/>
      <c r="J47" s="160"/>
      <c r="K47" s="160"/>
    </row>
    <row r="49" spans="1:11" x14ac:dyDescent="0.2">
      <c r="A49" s="100"/>
      <c r="B49" s="160"/>
      <c r="C49" s="160"/>
      <c r="D49" s="160"/>
      <c r="E49" s="160"/>
      <c r="F49" s="160"/>
      <c r="G49" s="160"/>
      <c r="H49" s="160"/>
      <c r="I49" s="160"/>
      <c r="J49" s="160"/>
      <c r="K49" s="160"/>
    </row>
    <row r="50" spans="1:11" x14ac:dyDescent="0.2">
      <c r="B50" s="160"/>
      <c r="C50" s="160"/>
      <c r="D50" s="160"/>
      <c r="E50" s="160"/>
      <c r="F50" s="160"/>
      <c r="G50" s="160"/>
      <c r="H50" s="160"/>
      <c r="I50" s="160"/>
      <c r="J50" s="160"/>
      <c r="K50" s="160"/>
    </row>
    <row r="51" spans="1:11" ht="26.25" customHeight="1" x14ac:dyDescent="0.2">
      <c r="B51" s="160"/>
      <c r="C51" s="160"/>
      <c r="D51" s="160"/>
      <c r="E51" s="160"/>
      <c r="F51" s="160"/>
      <c r="G51" s="160"/>
      <c r="H51" s="160"/>
      <c r="I51" s="160"/>
      <c r="J51" s="160"/>
      <c r="K51" s="160"/>
    </row>
  </sheetData>
  <mergeCells count="15">
    <mergeCell ref="B45:K47"/>
    <mergeCell ref="B49:K51"/>
    <mergeCell ref="B41:K43"/>
    <mergeCell ref="A1:L1"/>
    <mergeCell ref="A2:L2"/>
    <mergeCell ref="A3:L3"/>
    <mergeCell ref="B23:K27"/>
    <mergeCell ref="C10:I10"/>
    <mergeCell ref="B28:K31"/>
    <mergeCell ref="B38:K39"/>
    <mergeCell ref="B33:K36"/>
    <mergeCell ref="B19:C19"/>
    <mergeCell ref="B20:C20"/>
    <mergeCell ref="H5:J5"/>
    <mergeCell ref="I8:K8"/>
  </mergeCells>
  <phoneticPr fontId="3" type="noConversion"/>
  <pageMargins left="0.7" right="0.7" top="0.75" bottom="0.75" header="0.3" footer="0.3"/>
  <pageSetup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workbookViewId="0">
      <selection activeCell="B6" sqref="B6:K11"/>
    </sheetView>
  </sheetViews>
  <sheetFormatPr defaultRowHeight="12.75" x14ac:dyDescent="0.2"/>
  <cols>
    <col min="1" max="1" width="3.7109375" customWidth="1"/>
  </cols>
  <sheetData>
    <row r="1" spans="1:11" ht="12.75" customHeight="1" x14ac:dyDescent="0.2">
      <c r="A1" s="100" t="s">
        <v>80</v>
      </c>
      <c r="B1" s="160" t="s">
        <v>360</v>
      </c>
      <c r="C1" s="160"/>
      <c r="D1" s="160"/>
      <c r="E1" s="160"/>
      <c r="F1" s="160"/>
      <c r="G1" s="160"/>
      <c r="H1" s="160"/>
      <c r="I1" s="160"/>
      <c r="J1" s="160"/>
      <c r="K1" s="160"/>
    </row>
    <row r="2" spans="1:11" x14ac:dyDescent="0.2">
      <c r="B2" s="160"/>
      <c r="C2" s="160"/>
      <c r="D2" s="160"/>
      <c r="E2" s="160"/>
      <c r="F2" s="160"/>
      <c r="G2" s="160"/>
      <c r="H2" s="160"/>
      <c r="I2" s="160"/>
      <c r="J2" s="160"/>
      <c r="K2" s="160"/>
    </row>
    <row r="3" spans="1:11" x14ac:dyDescent="0.2">
      <c r="B3" s="160"/>
      <c r="C3" s="160"/>
      <c r="D3" s="160"/>
      <c r="E3" s="160"/>
      <c r="F3" s="160"/>
      <c r="G3" s="160"/>
      <c r="H3" s="160"/>
      <c r="I3" s="160"/>
      <c r="J3" s="160"/>
      <c r="K3" s="160"/>
    </row>
    <row r="4" spans="1:11" x14ac:dyDescent="0.2">
      <c r="B4" s="160"/>
      <c r="C4" s="160"/>
      <c r="D4" s="160"/>
      <c r="E4" s="160"/>
      <c r="F4" s="160"/>
      <c r="G4" s="160"/>
      <c r="H4" s="160"/>
      <c r="I4" s="160"/>
      <c r="J4" s="160"/>
      <c r="K4" s="160"/>
    </row>
    <row r="5" spans="1:11" x14ac:dyDescent="0.2">
      <c r="B5" s="151"/>
      <c r="C5" s="151"/>
      <c r="D5" s="151"/>
      <c r="E5" s="151"/>
      <c r="F5" s="151"/>
      <c r="G5" s="151"/>
      <c r="H5" s="151"/>
      <c r="I5" s="151"/>
      <c r="J5" s="151"/>
      <c r="K5" s="151"/>
    </row>
    <row r="6" spans="1:11" ht="12.75" customHeight="1" x14ac:dyDescent="0.2">
      <c r="A6" s="100" t="s">
        <v>81</v>
      </c>
      <c r="B6" s="160" t="s">
        <v>364</v>
      </c>
      <c r="C6" s="160"/>
      <c r="D6" s="160"/>
      <c r="E6" s="160"/>
      <c r="F6" s="160"/>
      <c r="G6" s="160"/>
      <c r="H6" s="160"/>
      <c r="I6" s="160"/>
      <c r="J6" s="160"/>
      <c r="K6" s="160"/>
    </row>
    <row r="7" spans="1:11" x14ac:dyDescent="0.2">
      <c r="B7" s="160"/>
      <c r="C7" s="160"/>
      <c r="D7" s="160"/>
      <c r="E7" s="160"/>
      <c r="F7" s="160"/>
      <c r="G7" s="160"/>
      <c r="H7" s="160"/>
      <c r="I7" s="160"/>
      <c r="J7" s="160"/>
      <c r="K7" s="160"/>
    </row>
    <row r="8" spans="1:11" x14ac:dyDescent="0.2">
      <c r="B8" s="160"/>
      <c r="C8" s="160"/>
      <c r="D8" s="160"/>
      <c r="E8" s="160"/>
      <c r="F8" s="160"/>
      <c r="G8" s="160"/>
      <c r="H8" s="160"/>
      <c r="I8" s="160"/>
      <c r="J8" s="160"/>
      <c r="K8" s="160"/>
    </row>
    <row r="9" spans="1:11" x14ac:dyDescent="0.2">
      <c r="B9" s="160"/>
      <c r="C9" s="160"/>
      <c r="D9" s="160"/>
      <c r="E9" s="160"/>
      <c r="F9" s="160"/>
      <c r="G9" s="160"/>
      <c r="H9" s="160"/>
      <c r="I9" s="160"/>
      <c r="J9" s="160"/>
      <c r="K9" s="160"/>
    </row>
    <row r="10" spans="1:11" x14ac:dyDescent="0.2">
      <c r="B10" s="160"/>
      <c r="C10" s="160"/>
      <c r="D10" s="160"/>
      <c r="E10" s="160"/>
      <c r="F10" s="160"/>
      <c r="G10" s="160"/>
      <c r="H10" s="160"/>
      <c r="I10" s="160"/>
      <c r="J10" s="160"/>
      <c r="K10" s="160"/>
    </row>
    <row r="11" spans="1:11" x14ac:dyDescent="0.2">
      <c r="B11" s="160"/>
      <c r="C11" s="160"/>
      <c r="D11" s="160"/>
      <c r="E11" s="160"/>
      <c r="F11" s="160"/>
      <c r="G11" s="160"/>
      <c r="H11" s="160"/>
      <c r="I11" s="160"/>
      <c r="J11" s="160"/>
      <c r="K11" s="160"/>
    </row>
    <row r="12" spans="1:11" x14ac:dyDescent="0.2">
      <c r="B12" s="151"/>
      <c r="C12" s="151"/>
      <c r="D12" s="151"/>
      <c r="E12" s="151"/>
      <c r="F12" s="151"/>
      <c r="G12" s="151"/>
      <c r="H12" s="151"/>
      <c r="I12" s="151"/>
      <c r="J12" s="151"/>
      <c r="K12" s="151"/>
    </row>
    <row r="13" spans="1:11" ht="12.75" customHeight="1" x14ac:dyDescent="0.2">
      <c r="A13" s="100" t="s">
        <v>82</v>
      </c>
      <c r="B13" s="160" t="s">
        <v>358</v>
      </c>
      <c r="C13" s="160"/>
      <c r="D13" s="160"/>
      <c r="E13" s="160"/>
      <c r="F13" s="160"/>
      <c r="G13" s="160"/>
      <c r="H13" s="160"/>
      <c r="I13" s="160"/>
      <c r="J13" s="160"/>
      <c r="K13" s="160"/>
    </row>
    <row r="14" spans="1:11" x14ac:dyDescent="0.2">
      <c r="B14" s="160"/>
      <c r="C14" s="160"/>
      <c r="D14" s="160"/>
      <c r="E14" s="160"/>
      <c r="F14" s="160"/>
      <c r="G14" s="160"/>
      <c r="H14" s="160"/>
      <c r="I14" s="160"/>
      <c r="J14" s="160"/>
      <c r="K14" s="160"/>
    </row>
    <row r="15" spans="1:11" x14ac:dyDescent="0.2">
      <c r="B15" s="160"/>
      <c r="C15" s="160"/>
      <c r="D15" s="160"/>
      <c r="E15" s="160"/>
      <c r="F15" s="160"/>
      <c r="G15" s="160"/>
      <c r="H15" s="160"/>
      <c r="I15" s="160"/>
      <c r="J15" s="160"/>
      <c r="K15" s="160"/>
    </row>
    <row r="16" spans="1:11" x14ac:dyDescent="0.2">
      <c r="B16" s="160"/>
      <c r="C16" s="160"/>
      <c r="D16" s="160"/>
      <c r="E16" s="160"/>
      <c r="F16" s="160"/>
      <c r="G16" s="160"/>
      <c r="H16" s="160"/>
      <c r="I16" s="160"/>
      <c r="J16" s="160"/>
      <c r="K16" s="160"/>
    </row>
    <row r="17" spans="1:11" x14ac:dyDescent="0.2">
      <c r="B17" s="151"/>
      <c r="C17" s="151"/>
      <c r="D17" s="151"/>
      <c r="E17" s="151"/>
      <c r="F17" s="151"/>
      <c r="G17" s="151"/>
      <c r="H17" s="151"/>
      <c r="I17" s="151"/>
      <c r="J17" s="151"/>
      <c r="K17" s="151"/>
    </row>
    <row r="18" spans="1:11" x14ac:dyDescent="0.2">
      <c r="A18" s="63" t="s">
        <v>84</v>
      </c>
      <c r="B18" s="165" t="s">
        <v>326</v>
      </c>
      <c r="C18" s="165"/>
      <c r="D18" s="165"/>
      <c r="E18" s="165"/>
      <c r="F18" s="165"/>
      <c r="G18" s="165"/>
      <c r="H18" s="165"/>
      <c r="I18" s="165"/>
      <c r="J18" s="165"/>
      <c r="K18" s="165"/>
    </row>
    <row r="19" spans="1:11" x14ac:dyDescent="0.2">
      <c r="A19" s="64"/>
      <c r="B19" s="165"/>
      <c r="C19" s="165"/>
      <c r="D19" s="165"/>
      <c r="E19" s="165"/>
      <c r="F19" s="165"/>
      <c r="G19" s="165"/>
      <c r="H19" s="165"/>
      <c r="I19" s="165"/>
      <c r="J19" s="165"/>
      <c r="K19" s="165"/>
    </row>
    <row r="20" spans="1:11" x14ac:dyDescent="0.2">
      <c r="A20" s="64"/>
      <c r="B20" s="165"/>
      <c r="C20" s="165"/>
      <c r="D20" s="165"/>
      <c r="E20" s="165"/>
      <c r="F20" s="165"/>
      <c r="G20" s="165"/>
      <c r="H20" s="165"/>
      <c r="I20" s="165"/>
      <c r="J20" s="165"/>
      <c r="K20" s="165"/>
    </row>
    <row r="21" spans="1:11" x14ac:dyDescent="0.2">
      <c r="A21" s="64"/>
      <c r="B21" s="165"/>
      <c r="C21" s="165"/>
      <c r="D21" s="165"/>
      <c r="E21" s="165"/>
      <c r="F21" s="165"/>
      <c r="G21" s="165"/>
      <c r="H21" s="165"/>
      <c r="I21" s="165"/>
      <c r="J21" s="165"/>
      <c r="K21" s="165"/>
    </row>
    <row r="22" spans="1:11" x14ac:dyDescent="0.2">
      <c r="A22" s="64"/>
      <c r="B22" s="165"/>
      <c r="C22" s="165"/>
      <c r="D22" s="165"/>
      <c r="E22" s="165"/>
      <c r="F22" s="165"/>
      <c r="G22" s="165"/>
      <c r="H22" s="165"/>
      <c r="I22" s="165"/>
      <c r="J22" s="165"/>
      <c r="K22" s="165"/>
    </row>
    <row r="23" spans="1:11" x14ac:dyDescent="0.2">
      <c r="A23" s="63" t="s">
        <v>132</v>
      </c>
      <c r="B23" s="166" t="s">
        <v>130</v>
      </c>
      <c r="C23" s="166"/>
      <c r="D23" s="166"/>
      <c r="E23" s="166"/>
      <c r="F23" s="166"/>
      <c r="G23" s="166"/>
      <c r="H23" s="166"/>
      <c r="I23" s="166"/>
      <c r="J23" s="166"/>
      <c r="K23" s="166"/>
    </row>
    <row r="24" spans="1:11" x14ac:dyDescent="0.2">
      <c r="A24" s="64"/>
      <c r="B24" s="166"/>
      <c r="C24" s="166"/>
      <c r="D24" s="166"/>
      <c r="E24" s="166"/>
      <c r="F24" s="166"/>
      <c r="G24" s="166"/>
      <c r="H24" s="166"/>
      <c r="I24" s="166"/>
      <c r="J24" s="166"/>
      <c r="K24" s="166"/>
    </row>
    <row r="25" spans="1:11" x14ac:dyDescent="0.2">
      <c r="A25" s="64"/>
      <c r="B25" s="166"/>
      <c r="C25" s="166"/>
      <c r="D25" s="166"/>
      <c r="E25" s="166"/>
      <c r="F25" s="166"/>
      <c r="G25" s="166"/>
      <c r="H25" s="166"/>
      <c r="I25" s="166"/>
      <c r="J25" s="166"/>
      <c r="K25" s="166"/>
    </row>
    <row r="26" spans="1:11" ht="5.25" customHeight="1" x14ac:dyDescent="0.2">
      <c r="A26" s="64"/>
      <c r="B26" s="166"/>
      <c r="C26" s="166"/>
      <c r="D26" s="166"/>
      <c r="E26" s="166"/>
      <c r="F26" s="166"/>
      <c r="G26" s="166"/>
      <c r="H26" s="166"/>
      <c r="I26" s="166"/>
      <c r="J26" s="166"/>
      <c r="K26" s="166"/>
    </row>
    <row r="27" spans="1:11" x14ac:dyDescent="0.2">
      <c r="A27" s="64"/>
      <c r="B27" s="121"/>
      <c r="C27" s="121"/>
      <c r="D27" s="121"/>
      <c r="E27" s="121"/>
      <c r="F27" s="121"/>
      <c r="G27" s="121"/>
      <c r="H27" s="121"/>
      <c r="I27" s="121"/>
      <c r="J27" s="121"/>
      <c r="K27" s="121"/>
    </row>
    <row r="28" spans="1:11" x14ac:dyDescent="0.2">
      <c r="A28" s="63" t="s">
        <v>357</v>
      </c>
      <c r="B28" s="166" t="s">
        <v>131</v>
      </c>
      <c r="C28" s="166"/>
      <c r="D28" s="166"/>
      <c r="E28" s="166"/>
      <c r="F28" s="166"/>
      <c r="G28" s="166"/>
      <c r="H28" s="166"/>
      <c r="I28" s="166"/>
      <c r="J28" s="166"/>
      <c r="K28" s="166"/>
    </row>
    <row r="29" spans="1:11" x14ac:dyDescent="0.2">
      <c r="A29" s="64"/>
      <c r="B29" s="166"/>
      <c r="C29" s="166"/>
      <c r="D29" s="166"/>
      <c r="E29" s="166"/>
      <c r="F29" s="166"/>
      <c r="G29" s="166"/>
      <c r="H29" s="166"/>
      <c r="I29" s="166"/>
      <c r="J29" s="166"/>
      <c r="K29" s="166"/>
    </row>
    <row r="30" spans="1:11" x14ac:dyDescent="0.2">
      <c r="A30" s="64"/>
      <c r="B30" s="166"/>
      <c r="C30" s="166"/>
      <c r="D30" s="166"/>
      <c r="E30" s="166"/>
      <c r="F30" s="166"/>
      <c r="G30" s="166"/>
      <c r="H30" s="166"/>
      <c r="I30" s="166"/>
      <c r="J30" s="166"/>
      <c r="K30" s="166"/>
    </row>
    <row r="31" spans="1:11" x14ac:dyDescent="0.2">
      <c r="A31" s="64"/>
      <c r="B31" s="166"/>
      <c r="C31" s="166"/>
      <c r="D31" s="166"/>
      <c r="E31" s="166"/>
      <c r="F31" s="166"/>
      <c r="G31" s="166"/>
      <c r="H31" s="166"/>
      <c r="I31" s="166"/>
      <c r="J31" s="166"/>
      <c r="K31" s="166"/>
    </row>
    <row r="32" spans="1:11" x14ac:dyDescent="0.2">
      <c r="A32" s="64"/>
      <c r="B32" s="121"/>
      <c r="C32" s="121"/>
      <c r="D32" s="121"/>
      <c r="E32" s="121"/>
      <c r="F32" s="121"/>
      <c r="G32" s="121"/>
      <c r="H32" s="121"/>
      <c r="I32" s="121"/>
      <c r="J32" s="121"/>
      <c r="K32" s="121"/>
    </row>
    <row r="33" spans="1:11" x14ac:dyDescent="0.2">
      <c r="A33" s="63" t="s">
        <v>359</v>
      </c>
      <c r="B33" s="161" t="s">
        <v>83</v>
      </c>
      <c r="C33" s="161"/>
      <c r="D33" s="161"/>
      <c r="E33" s="161"/>
      <c r="F33" s="161"/>
      <c r="G33" s="161"/>
      <c r="H33" s="161"/>
      <c r="I33" s="161"/>
      <c r="J33" s="161"/>
      <c r="K33" s="161"/>
    </row>
    <row r="34" spans="1:11" x14ac:dyDescent="0.2">
      <c r="A34" s="64"/>
      <c r="B34" s="161"/>
      <c r="C34" s="161"/>
      <c r="D34" s="161"/>
      <c r="E34" s="161"/>
      <c r="F34" s="161"/>
      <c r="G34" s="161"/>
      <c r="H34" s="161"/>
      <c r="I34" s="161"/>
      <c r="J34" s="161"/>
      <c r="K34" s="161"/>
    </row>
    <row r="35" spans="1:11" x14ac:dyDescent="0.2">
      <c r="A35" s="64"/>
      <c r="B35" s="120"/>
      <c r="C35" s="120"/>
      <c r="D35" s="120"/>
      <c r="E35" s="120"/>
      <c r="F35" s="120"/>
      <c r="G35" s="120"/>
      <c r="H35" s="120"/>
      <c r="I35" s="120"/>
      <c r="J35" s="120"/>
      <c r="K35" s="120"/>
    </row>
    <row r="36" spans="1:11" ht="12.75" customHeight="1" x14ac:dyDescent="0.2">
      <c r="A36" s="63" t="s">
        <v>365</v>
      </c>
      <c r="B36" s="166" t="s">
        <v>366</v>
      </c>
      <c r="C36" s="166"/>
      <c r="D36" s="166"/>
      <c r="E36" s="166"/>
      <c r="F36" s="166"/>
      <c r="G36" s="166"/>
      <c r="H36" s="166"/>
      <c r="I36" s="166"/>
      <c r="J36" s="166"/>
      <c r="K36" s="166"/>
    </row>
    <row r="37" spans="1:11" x14ac:dyDescent="0.2">
      <c r="A37" s="64"/>
      <c r="B37" s="166"/>
      <c r="C37" s="166"/>
      <c r="D37" s="166"/>
      <c r="E37" s="166"/>
      <c r="F37" s="166"/>
      <c r="G37" s="166"/>
      <c r="H37" s="166"/>
      <c r="I37" s="166"/>
      <c r="J37" s="166"/>
      <c r="K37" s="166"/>
    </row>
    <row r="38" spans="1:11" x14ac:dyDescent="0.2">
      <c r="A38" s="64"/>
      <c r="B38" s="166"/>
      <c r="C38" s="166"/>
      <c r="D38" s="166"/>
      <c r="E38" s="166"/>
      <c r="F38" s="166"/>
      <c r="G38" s="166"/>
      <c r="H38" s="166"/>
      <c r="I38" s="166"/>
      <c r="J38" s="166"/>
      <c r="K38" s="166"/>
    </row>
    <row r="39" spans="1:11" x14ac:dyDescent="0.2">
      <c r="B39" s="166"/>
      <c r="C39" s="166"/>
      <c r="D39" s="166"/>
      <c r="E39" s="166"/>
      <c r="F39" s="166"/>
      <c r="G39" s="166"/>
      <c r="H39" s="166"/>
      <c r="I39" s="166"/>
      <c r="J39" s="166"/>
      <c r="K39" s="166"/>
    </row>
  </sheetData>
  <mergeCells count="8">
    <mergeCell ref="B28:K31"/>
    <mergeCell ref="B33:K34"/>
    <mergeCell ref="B36:K39"/>
    <mergeCell ref="B1:K4"/>
    <mergeCell ref="B13:K16"/>
    <mergeCell ref="B6:K11"/>
    <mergeCell ref="B18:K22"/>
    <mergeCell ref="B23:K26"/>
  </mergeCells>
  <pageMargins left="0.7" right="0.7" top="1.5" bottom="0.75" header="0.3" footer="0.3"/>
  <pageSetup scale="97" orientation="portrait" horizontalDpi="4294967293" verticalDpi="0" r:id="rId1"/>
  <headerFooter>
    <oddHeader>&amp;CSaddle Creek Community Services District
Draft 2015 Budget</oddHead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92"/>
  <sheetViews>
    <sheetView zoomScaleNormal="100" workbookViewId="0">
      <selection activeCell="D24" sqref="D24"/>
    </sheetView>
  </sheetViews>
  <sheetFormatPr defaultRowHeight="12.75" x14ac:dyDescent="0.2"/>
  <sheetData>
    <row r="2" spans="1:10" x14ac:dyDescent="0.2">
      <c r="A2" s="162" t="s">
        <v>85</v>
      </c>
      <c r="B2" s="162"/>
      <c r="C2" s="162"/>
      <c r="D2" s="162"/>
      <c r="E2" s="162"/>
      <c r="F2" s="162"/>
      <c r="G2" s="162"/>
      <c r="H2" s="162"/>
      <c r="I2" s="162"/>
      <c r="J2" s="14"/>
    </row>
    <row r="4" spans="1:10" x14ac:dyDescent="0.2">
      <c r="A4" s="164" t="s">
        <v>65</v>
      </c>
      <c r="B4" s="164"/>
      <c r="C4" s="164"/>
      <c r="D4" s="164"/>
      <c r="E4" s="164"/>
      <c r="F4" s="164"/>
      <c r="G4" s="164"/>
      <c r="H4" s="164"/>
      <c r="I4" s="164"/>
    </row>
    <row r="5" spans="1:10" x14ac:dyDescent="0.2">
      <c r="A5" s="163" t="s">
        <v>182</v>
      </c>
      <c r="B5" s="164"/>
      <c r="C5" s="164"/>
      <c r="D5" s="164"/>
      <c r="E5" s="164"/>
      <c r="F5" s="164"/>
      <c r="G5" s="164"/>
      <c r="H5" s="164"/>
      <c r="I5" s="164"/>
    </row>
    <row r="6" spans="1:10" x14ac:dyDescent="0.2">
      <c r="A6" s="164" t="s">
        <v>86</v>
      </c>
      <c r="B6" s="164"/>
      <c r="C6" s="164"/>
      <c r="D6" s="164"/>
      <c r="E6" s="164"/>
      <c r="F6" s="164"/>
      <c r="G6" s="164"/>
      <c r="H6" s="164"/>
      <c r="I6" s="164"/>
    </row>
    <row r="9" spans="1:10" x14ac:dyDescent="0.2">
      <c r="A9" t="s">
        <v>2</v>
      </c>
    </row>
    <row r="11" spans="1:10" x14ac:dyDescent="0.2">
      <c r="A11" t="s">
        <v>4</v>
      </c>
    </row>
    <row r="13" spans="1:10" x14ac:dyDescent="0.2">
      <c r="A13" t="s">
        <v>3</v>
      </c>
    </row>
    <row r="15" spans="1:10" x14ac:dyDescent="0.2">
      <c r="A15" t="s">
        <v>109</v>
      </c>
    </row>
    <row r="17" spans="1:1" x14ac:dyDescent="0.2">
      <c r="A17" s="6" t="s">
        <v>91</v>
      </c>
    </row>
    <row r="19" spans="1:1" x14ac:dyDescent="0.2">
      <c r="A19" t="s">
        <v>156</v>
      </c>
    </row>
    <row r="21" spans="1:1" x14ac:dyDescent="0.2">
      <c r="A21" t="s">
        <v>15</v>
      </c>
    </row>
    <row r="23" spans="1:1" x14ac:dyDescent="0.2">
      <c r="A23" s="6" t="s">
        <v>92</v>
      </c>
    </row>
    <row r="25" spans="1:1" x14ac:dyDescent="0.2">
      <c r="A25" s="6" t="s">
        <v>93</v>
      </c>
    </row>
    <row r="27" spans="1:1" x14ac:dyDescent="0.2">
      <c r="A27" t="s">
        <v>16</v>
      </c>
    </row>
    <row r="29" spans="1:1" x14ac:dyDescent="0.2">
      <c r="A29" t="s">
        <v>17</v>
      </c>
    </row>
    <row r="31" spans="1:1" x14ac:dyDescent="0.2">
      <c r="A31" t="s">
        <v>18</v>
      </c>
    </row>
    <row r="33" spans="1:1" x14ac:dyDescent="0.2">
      <c r="A33" t="s">
        <v>19</v>
      </c>
    </row>
    <row r="35" spans="1:1" x14ac:dyDescent="0.2">
      <c r="A35" t="s">
        <v>20</v>
      </c>
    </row>
    <row r="37" spans="1:1" x14ac:dyDescent="0.2">
      <c r="A37" t="s">
        <v>21</v>
      </c>
    </row>
    <row r="39" spans="1:1" x14ac:dyDescent="0.2">
      <c r="A39" t="s">
        <v>22</v>
      </c>
    </row>
    <row r="41" spans="1:1" x14ac:dyDescent="0.2">
      <c r="A41" t="s">
        <v>5</v>
      </c>
    </row>
    <row r="43" spans="1:1" x14ac:dyDescent="0.2">
      <c r="A43" t="s">
        <v>6</v>
      </c>
    </row>
    <row r="45" spans="1:1" x14ac:dyDescent="0.2">
      <c r="A45" t="s">
        <v>7</v>
      </c>
    </row>
    <row r="47" spans="1:1" x14ac:dyDescent="0.2">
      <c r="A47" t="s">
        <v>8</v>
      </c>
    </row>
    <row r="49" spans="1:9" x14ac:dyDescent="0.2">
      <c r="A49" t="s">
        <v>108</v>
      </c>
    </row>
    <row r="51" spans="1:9" x14ac:dyDescent="0.2">
      <c r="A51" t="s">
        <v>9</v>
      </c>
    </row>
    <row r="53" spans="1:9" x14ac:dyDescent="0.2">
      <c r="A53" t="s">
        <v>11</v>
      </c>
    </row>
    <row r="55" spans="1:9" x14ac:dyDescent="0.2">
      <c r="A55" t="s">
        <v>1</v>
      </c>
    </row>
    <row r="56" spans="1:9" x14ac:dyDescent="0.2">
      <c r="A56" s="168" t="str">
        <f>+A2</f>
        <v>Exhibit "C"</v>
      </c>
      <c r="B56" s="168"/>
      <c r="C56" s="168"/>
      <c r="D56" s="168"/>
      <c r="E56" s="168"/>
      <c r="F56" s="168"/>
      <c r="G56" s="168"/>
      <c r="H56" s="168"/>
      <c r="I56" s="168"/>
    </row>
    <row r="58" spans="1:9" x14ac:dyDescent="0.2">
      <c r="A58" s="168" t="str">
        <f>+A4</f>
        <v>SADDLE CREEK COMMUNITY SERVICES DISTRICT</v>
      </c>
      <c r="B58" s="168"/>
      <c r="C58" s="168"/>
      <c r="D58" s="168"/>
      <c r="E58" s="168"/>
      <c r="F58" s="168"/>
      <c r="G58" s="168"/>
      <c r="H58" s="168"/>
      <c r="I58" s="168"/>
    </row>
    <row r="59" spans="1:9" x14ac:dyDescent="0.2">
      <c r="A59" s="168" t="str">
        <f>+A5</f>
        <v>FY 2015 BUDGET CATEGORY IDENTIFICATION</v>
      </c>
      <c r="B59" s="168"/>
      <c r="C59" s="168"/>
      <c r="D59" s="168"/>
      <c r="E59" s="168"/>
      <c r="F59" s="168"/>
      <c r="G59" s="168"/>
      <c r="H59" s="168"/>
      <c r="I59" s="168"/>
    </row>
    <row r="60" spans="1:9" x14ac:dyDescent="0.2">
      <c r="A60" s="168" t="str">
        <f>+A6</f>
        <v>(Operational Expenses &amp; Capital Outlay)</v>
      </c>
      <c r="B60" s="168"/>
      <c r="C60" s="168"/>
      <c r="D60" s="168"/>
      <c r="E60" s="168"/>
      <c r="F60" s="168"/>
      <c r="G60" s="168"/>
      <c r="H60" s="168"/>
      <c r="I60" s="168"/>
    </row>
    <row r="61" spans="1:9" x14ac:dyDescent="0.2">
      <c r="A61" t="s">
        <v>1</v>
      </c>
    </row>
    <row r="63" spans="1:9" x14ac:dyDescent="0.2">
      <c r="A63" t="s">
        <v>2</v>
      </c>
    </row>
    <row r="65" spans="1:1" x14ac:dyDescent="0.2">
      <c r="A65" t="s">
        <v>106</v>
      </c>
    </row>
    <row r="66" spans="1:1" x14ac:dyDescent="0.2">
      <c r="A66" t="s">
        <v>107</v>
      </c>
    </row>
    <row r="68" spans="1:1" x14ac:dyDescent="0.2">
      <c r="A68" s="6" t="s">
        <v>87</v>
      </c>
    </row>
    <row r="70" spans="1:1" x14ac:dyDescent="0.2">
      <c r="A70" t="s">
        <v>12</v>
      </c>
    </row>
    <row r="71" spans="1:1" x14ac:dyDescent="0.2">
      <c r="A71" t="s">
        <v>1</v>
      </c>
    </row>
    <row r="72" spans="1:1" x14ac:dyDescent="0.2">
      <c r="A72" t="s">
        <v>13</v>
      </c>
    </row>
    <row r="74" spans="1:1" x14ac:dyDescent="0.2">
      <c r="A74" t="s">
        <v>110</v>
      </c>
    </row>
    <row r="75" spans="1:1" x14ac:dyDescent="0.2">
      <c r="A75" t="s">
        <v>10</v>
      </c>
    </row>
    <row r="77" spans="1:1" x14ac:dyDescent="0.2">
      <c r="A77" s="6" t="s">
        <v>88</v>
      </c>
    </row>
    <row r="79" spans="1:1" x14ac:dyDescent="0.2">
      <c r="A79" s="6" t="s">
        <v>104</v>
      </c>
    </row>
    <row r="81" spans="1:1" x14ac:dyDescent="0.2">
      <c r="A81" s="6" t="s">
        <v>105</v>
      </c>
    </row>
    <row r="92" spans="1:1" x14ac:dyDescent="0.2">
      <c r="A92" t="s">
        <v>14</v>
      </c>
    </row>
  </sheetData>
  <mergeCells count="8">
    <mergeCell ref="A58:I58"/>
    <mergeCell ref="A59:I59"/>
    <mergeCell ref="A60:I60"/>
    <mergeCell ref="A2:I2"/>
    <mergeCell ref="A4:I4"/>
    <mergeCell ref="A5:I5"/>
    <mergeCell ref="A6:I6"/>
    <mergeCell ref="A56:I56"/>
  </mergeCells>
  <phoneticPr fontId="3" type="noConversion"/>
  <pageMargins left="0.7" right="0.7" top="0.75" bottom="0.75" header="0.3" footer="0.3"/>
  <pageSetup scale="98" orientation="portrait" r:id="rId1"/>
  <headerFooter alignWithMargins="0"/>
  <rowBreaks count="1" manualBreakCount="1">
    <brk id="5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opLeftCell="A49" workbookViewId="0">
      <selection activeCell="E55" sqref="E55"/>
    </sheetView>
  </sheetViews>
  <sheetFormatPr defaultRowHeight="12.75" x14ac:dyDescent="0.2"/>
  <sheetData/>
  <printOptions horizontalCentered="1"/>
  <pageMargins left="0.7" right="0.7" top="0.75" bottom="0.5" header="0.3" footer="0.3"/>
  <pageSetup scale="78" orientation="portrait" horizontalDpi="4294967293" verticalDpi="0" r:id="rId1"/>
  <headerFooter>
    <oddHeader>&amp;CSaddle Creek CSD Budget Overview Charts</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zoomScaleNormal="100" workbookViewId="0">
      <pane xSplit="11" ySplit="5" topLeftCell="P6" activePane="bottomRight" state="frozen"/>
      <selection pane="topRight" activeCell="H1" sqref="H1"/>
      <selection pane="bottomLeft" activeCell="A6" sqref="A6"/>
      <selection pane="bottomRight" activeCell="F13" sqref="F13"/>
    </sheetView>
  </sheetViews>
  <sheetFormatPr defaultRowHeight="12.75" x14ac:dyDescent="0.2"/>
  <cols>
    <col min="1" max="1" width="16.85546875" customWidth="1"/>
    <col min="2" max="2" width="14.140625" customWidth="1"/>
    <col min="3" max="3" width="11.5703125" customWidth="1"/>
    <col min="4" max="4" width="9" style="86" customWidth="1"/>
    <col min="5" max="5" width="8.85546875" style="86" customWidth="1"/>
    <col min="6" max="6" width="11" style="86" customWidth="1"/>
    <col min="7" max="7" width="9.7109375" style="86" customWidth="1"/>
    <col min="8" max="8" width="9.42578125" style="86" customWidth="1"/>
    <col min="9" max="9" width="11.7109375" style="86" customWidth="1"/>
    <col min="10" max="11" width="11.85546875" style="86" customWidth="1"/>
    <col min="12" max="12" width="11.140625" style="86" customWidth="1"/>
    <col min="13" max="13" width="10.85546875" style="86" customWidth="1"/>
    <col min="14" max="14" width="9.140625" style="86" customWidth="1"/>
    <col min="15" max="15" width="9.7109375" style="86" customWidth="1"/>
    <col min="16" max="16" width="10.85546875" style="86" customWidth="1"/>
    <col min="17" max="17" width="12.42578125" style="86" customWidth="1"/>
    <col min="18" max="18" width="13.5703125" customWidth="1"/>
    <col min="19" max="19" width="11.28515625" style="86" customWidth="1"/>
    <col min="20" max="20" width="11.28515625" bestFit="1" customWidth="1"/>
    <col min="257" max="257" width="16.85546875" customWidth="1"/>
    <col min="258" max="258" width="14.140625" customWidth="1"/>
    <col min="259" max="259" width="11.5703125" customWidth="1"/>
    <col min="260" max="260" width="9" customWidth="1"/>
    <col min="261" max="261" width="8.85546875" customWidth="1"/>
    <col min="262" max="262" width="11" customWidth="1"/>
    <col min="263" max="263" width="9.7109375" customWidth="1"/>
    <col min="264" max="264" width="9.42578125" customWidth="1"/>
    <col min="265" max="265" width="11.7109375" customWidth="1"/>
    <col min="266" max="267" width="11.85546875" customWidth="1"/>
    <col min="268" max="268" width="11.140625" customWidth="1"/>
    <col min="269" max="269" width="10.85546875" customWidth="1"/>
    <col min="270" max="270" width="9.140625" customWidth="1"/>
    <col min="271" max="271" width="9.7109375" customWidth="1"/>
    <col min="272" max="272" width="10.85546875" customWidth="1"/>
    <col min="273" max="273" width="12.42578125" customWidth="1"/>
    <col min="274" max="274" width="13.5703125" customWidth="1"/>
    <col min="275" max="275" width="11.28515625" customWidth="1"/>
    <col min="276" max="276" width="11.28515625" bestFit="1" customWidth="1"/>
    <col min="513" max="513" width="16.85546875" customWidth="1"/>
    <col min="514" max="514" width="14.140625" customWidth="1"/>
    <col min="515" max="515" width="11.5703125" customWidth="1"/>
    <col min="516" max="516" width="9" customWidth="1"/>
    <col min="517" max="517" width="8.85546875" customWidth="1"/>
    <col min="518" max="518" width="11" customWidth="1"/>
    <col min="519" max="519" width="9.7109375" customWidth="1"/>
    <col min="520" max="520" width="9.42578125" customWidth="1"/>
    <col min="521" max="521" width="11.7109375" customWidth="1"/>
    <col min="522" max="523" width="11.85546875" customWidth="1"/>
    <col min="524" max="524" width="11.140625" customWidth="1"/>
    <col min="525" max="525" width="10.85546875" customWidth="1"/>
    <col min="526" max="526" width="9.140625" customWidth="1"/>
    <col min="527" max="527" width="9.7109375" customWidth="1"/>
    <col min="528" max="528" width="10.85546875" customWidth="1"/>
    <col min="529" max="529" width="12.42578125" customWidth="1"/>
    <col min="530" max="530" width="13.5703125" customWidth="1"/>
    <col min="531" max="531" width="11.28515625" customWidth="1"/>
    <col min="532" max="532" width="11.28515625" bestFit="1" customWidth="1"/>
    <col min="769" max="769" width="16.85546875" customWidth="1"/>
    <col min="770" max="770" width="14.140625" customWidth="1"/>
    <col min="771" max="771" width="11.5703125" customWidth="1"/>
    <col min="772" max="772" width="9" customWidth="1"/>
    <col min="773" max="773" width="8.85546875" customWidth="1"/>
    <col min="774" max="774" width="11" customWidth="1"/>
    <col min="775" max="775" width="9.7109375" customWidth="1"/>
    <col min="776" max="776" width="9.42578125" customWidth="1"/>
    <col min="777" max="777" width="11.7109375" customWidth="1"/>
    <col min="778" max="779" width="11.85546875" customWidth="1"/>
    <col min="780" max="780" width="11.140625" customWidth="1"/>
    <col min="781" max="781" width="10.85546875" customWidth="1"/>
    <col min="782" max="782" width="9.140625" customWidth="1"/>
    <col min="783" max="783" width="9.7109375" customWidth="1"/>
    <col min="784" max="784" width="10.85546875" customWidth="1"/>
    <col min="785" max="785" width="12.42578125" customWidth="1"/>
    <col min="786" max="786" width="13.5703125" customWidth="1"/>
    <col min="787" max="787" width="11.28515625" customWidth="1"/>
    <col min="788" max="788" width="11.28515625" bestFit="1" customWidth="1"/>
    <col min="1025" max="1025" width="16.85546875" customWidth="1"/>
    <col min="1026" max="1026" width="14.140625" customWidth="1"/>
    <col min="1027" max="1027" width="11.5703125" customWidth="1"/>
    <col min="1028" max="1028" width="9" customWidth="1"/>
    <col min="1029" max="1029" width="8.85546875" customWidth="1"/>
    <col min="1030" max="1030" width="11" customWidth="1"/>
    <col min="1031" max="1031" width="9.7109375" customWidth="1"/>
    <col min="1032" max="1032" width="9.42578125" customWidth="1"/>
    <col min="1033" max="1033" width="11.7109375" customWidth="1"/>
    <col min="1034" max="1035" width="11.85546875" customWidth="1"/>
    <col min="1036" max="1036" width="11.140625" customWidth="1"/>
    <col min="1037" max="1037" width="10.85546875" customWidth="1"/>
    <col min="1038" max="1038" width="9.140625" customWidth="1"/>
    <col min="1039" max="1039" width="9.7109375" customWidth="1"/>
    <col min="1040" max="1040" width="10.85546875" customWidth="1"/>
    <col min="1041" max="1041" width="12.42578125" customWidth="1"/>
    <col min="1042" max="1042" width="13.5703125" customWidth="1"/>
    <col min="1043" max="1043" width="11.28515625" customWidth="1"/>
    <col min="1044" max="1044" width="11.28515625" bestFit="1" customWidth="1"/>
    <col min="1281" max="1281" width="16.85546875" customWidth="1"/>
    <col min="1282" max="1282" width="14.140625" customWidth="1"/>
    <col min="1283" max="1283" width="11.5703125" customWidth="1"/>
    <col min="1284" max="1284" width="9" customWidth="1"/>
    <col min="1285" max="1285" width="8.85546875" customWidth="1"/>
    <col min="1286" max="1286" width="11" customWidth="1"/>
    <col min="1287" max="1287" width="9.7109375" customWidth="1"/>
    <col min="1288" max="1288" width="9.42578125" customWidth="1"/>
    <col min="1289" max="1289" width="11.7109375" customWidth="1"/>
    <col min="1290" max="1291" width="11.85546875" customWidth="1"/>
    <col min="1292" max="1292" width="11.140625" customWidth="1"/>
    <col min="1293" max="1293" width="10.85546875" customWidth="1"/>
    <col min="1294" max="1294" width="9.140625" customWidth="1"/>
    <col min="1295" max="1295" width="9.7109375" customWidth="1"/>
    <col min="1296" max="1296" width="10.85546875" customWidth="1"/>
    <col min="1297" max="1297" width="12.42578125" customWidth="1"/>
    <col min="1298" max="1298" width="13.5703125" customWidth="1"/>
    <col min="1299" max="1299" width="11.28515625" customWidth="1"/>
    <col min="1300" max="1300" width="11.28515625" bestFit="1" customWidth="1"/>
    <col min="1537" max="1537" width="16.85546875" customWidth="1"/>
    <col min="1538" max="1538" width="14.140625" customWidth="1"/>
    <col min="1539" max="1539" width="11.5703125" customWidth="1"/>
    <col min="1540" max="1540" width="9" customWidth="1"/>
    <col min="1541" max="1541" width="8.85546875" customWidth="1"/>
    <col min="1542" max="1542" width="11" customWidth="1"/>
    <col min="1543" max="1543" width="9.7109375" customWidth="1"/>
    <col min="1544" max="1544" width="9.42578125" customWidth="1"/>
    <col min="1545" max="1545" width="11.7109375" customWidth="1"/>
    <col min="1546" max="1547" width="11.85546875" customWidth="1"/>
    <col min="1548" max="1548" width="11.140625" customWidth="1"/>
    <col min="1549" max="1549" width="10.85546875" customWidth="1"/>
    <col min="1550" max="1550" width="9.140625" customWidth="1"/>
    <col min="1551" max="1551" width="9.7109375" customWidth="1"/>
    <col min="1552" max="1552" width="10.85546875" customWidth="1"/>
    <col min="1553" max="1553" width="12.42578125" customWidth="1"/>
    <col min="1554" max="1554" width="13.5703125" customWidth="1"/>
    <col min="1555" max="1555" width="11.28515625" customWidth="1"/>
    <col min="1556" max="1556" width="11.28515625" bestFit="1" customWidth="1"/>
    <col min="1793" max="1793" width="16.85546875" customWidth="1"/>
    <col min="1794" max="1794" width="14.140625" customWidth="1"/>
    <col min="1795" max="1795" width="11.5703125" customWidth="1"/>
    <col min="1796" max="1796" width="9" customWidth="1"/>
    <col min="1797" max="1797" width="8.85546875" customWidth="1"/>
    <col min="1798" max="1798" width="11" customWidth="1"/>
    <col min="1799" max="1799" width="9.7109375" customWidth="1"/>
    <col min="1800" max="1800" width="9.42578125" customWidth="1"/>
    <col min="1801" max="1801" width="11.7109375" customWidth="1"/>
    <col min="1802" max="1803" width="11.85546875" customWidth="1"/>
    <col min="1804" max="1804" width="11.140625" customWidth="1"/>
    <col min="1805" max="1805" width="10.85546875" customWidth="1"/>
    <col min="1806" max="1806" width="9.140625" customWidth="1"/>
    <col min="1807" max="1807" width="9.7109375" customWidth="1"/>
    <col min="1808" max="1808" width="10.85546875" customWidth="1"/>
    <col min="1809" max="1809" width="12.42578125" customWidth="1"/>
    <col min="1810" max="1810" width="13.5703125" customWidth="1"/>
    <col min="1811" max="1811" width="11.28515625" customWidth="1"/>
    <col min="1812" max="1812" width="11.28515625" bestFit="1" customWidth="1"/>
    <col min="2049" max="2049" width="16.85546875" customWidth="1"/>
    <col min="2050" max="2050" width="14.140625" customWidth="1"/>
    <col min="2051" max="2051" width="11.5703125" customWidth="1"/>
    <col min="2052" max="2052" width="9" customWidth="1"/>
    <col min="2053" max="2053" width="8.85546875" customWidth="1"/>
    <col min="2054" max="2054" width="11" customWidth="1"/>
    <col min="2055" max="2055" width="9.7109375" customWidth="1"/>
    <col min="2056" max="2056" width="9.42578125" customWidth="1"/>
    <col min="2057" max="2057" width="11.7109375" customWidth="1"/>
    <col min="2058" max="2059" width="11.85546875" customWidth="1"/>
    <col min="2060" max="2060" width="11.140625" customWidth="1"/>
    <col min="2061" max="2061" width="10.85546875" customWidth="1"/>
    <col min="2062" max="2062" width="9.140625" customWidth="1"/>
    <col min="2063" max="2063" width="9.7109375" customWidth="1"/>
    <col min="2064" max="2064" width="10.85546875" customWidth="1"/>
    <col min="2065" max="2065" width="12.42578125" customWidth="1"/>
    <col min="2066" max="2066" width="13.5703125" customWidth="1"/>
    <col min="2067" max="2067" width="11.28515625" customWidth="1"/>
    <col min="2068" max="2068" width="11.28515625" bestFit="1" customWidth="1"/>
    <col min="2305" max="2305" width="16.85546875" customWidth="1"/>
    <col min="2306" max="2306" width="14.140625" customWidth="1"/>
    <col min="2307" max="2307" width="11.5703125" customWidth="1"/>
    <col min="2308" max="2308" width="9" customWidth="1"/>
    <col min="2309" max="2309" width="8.85546875" customWidth="1"/>
    <col min="2310" max="2310" width="11" customWidth="1"/>
    <col min="2311" max="2311" width="9.7109375" customWidth="1"/>
    <col min="2312" max="2312" width="9.42578125" customWidth="1"/>
    <col min="2313" max="2313" width="11.7109375" customWidth="1"/>
    <col min="2314" max="2315" width="11.85546875" customWidth="1"/>
    <col min="2316" max="2316" width="11.140625" customWidth="1"/>
    <col min="2317" max="2317" width="10.85546875" customWidth="1"/>
    <col min="2318" max="2318" width="9.140625" customWidth="1"/>
    <col min="2319" max="2319" width="9.7109375" customWidth="1"/>
    <col min="2320" max="2320" width="10.85546875" customWidth="1"/>
    <col min="2321" max="2321" width="12.42578125" customWidth="1"/>
    <col min="2322" max="2322" width="13.5703125" customWidth="1"/>
    <col min="2323" max="2323" width="11.28515625" customWidth="1"/>
    <col min="2324" max="2324" width="11.28515625" bestFit="1" customWidth="1"/>
    <col min="2561" max="2561" width="16.85546875" customWidth="1"/>
    <col min="2562" max="2562" width="14.140625" customWidth="1"/>
    <col min="2563" max="2563" width="11.5703125" customWidth="1"/>
    <col min="2564" max="2564" width="9" customWidth="1"/>
    <col min="2565" max="2565" width="8.85546875" customWidth="1"/>
    <col min="2566" max="2566" width="11" customWidth="1"/>
    <col min="2567" max="2567" width="9.7109375" customWidth="1"/>
    <col min="2568" max="2568" width="9.42578125" customWidth="1"/>
    <col min="2569" max="2569" width="11.7109375" customWidth="1"/>
    <col min="2570" max="2571" width="11.85546875" customWidth="1"/>
    <col min="2572" max="2572" width="11.140625" customWidth="1"/>
    <col min="2573" max="2573" width="10.85546875" customWidth="1"/>
    <col min="2574" max="2574" width="9.140625" customWidth="1"/>
    <col min="2575" max="2575" width="9.7109375" customWidth="1"/>
    <col min="2576" max="2576" width="10.85546875" customWidth="1"/>
    <col min="2577" max="2577" width="12.42578125" customWidth="1"/>
    <col min="2578" max="2578" width="13.5703125" customWidth="1"/>
    <col min="2579" max="2579" width="11.28515625" customWidth="1"/>
    <col min="2580" max="2580" width="11.28515625" bestFit="1" customWidth="1"/>
    <col min="2817" max="2817" width="16.85546875" customWidth="1"/>
    <col min="2818" max="2818" width="14.140625" customWidth="1"/>
    <col min="2819" max="2819" width="11.5703125" customWidth="1"/>
    <col min="2820" max="2820" width="9" customWidth="1"/>
    <col min="2821" max="2821" width="8.85546875" customWidth="1"/>
    <col min="2822" max="2822" width="11" customWidth="1"/>
    <col min="2823" max="2823" width="9.7109375" customWidth="1"/>
    <col min="2824" max="2824" width="9.42578125" customWidth="1"/>
    <col min="2825" max="2825" width="11.7109375" customWidth="1"/>
    <col min="2826" max="2827" width="11.85546875" customWidth="1"/>
    <col min="2828" max="2828" width="11.140625" customWidth="1"/>
    <col min="2829" max="2829" width="10.85546875" customWidth="1"/>
    <col min="2830" max="2830" width="9.140625" customWidth="1"/>
    <col min="2831" max="2831" width="9.7109375" customWidth="1"/>
    <col min="2832" max="2832" width="10.85546875" customWidth="1"/>
    <col min="2833" max="2833" width="12.42578125" customWidth="1"/>
    <col min="2834" max="2834" width="13.5703125" customWidth="1"/>
    <col min="2835" max="2835" width="11.28515625" customWidth="1"/>
    <col min="2836" max="2836" width="11.28515625" bestFit="1" customWidth="1"/>
    <col min="3073" max="3073" width="16.85546875" customWidth="1"/>
    <col min="3074" max="3074" width="14.140625" customWidth="1"/>
    <col min="3075" max="3075" width="11.5703125" customWidth="1"/>
    <col min="3076" max="3076" width="9" customWidth="1"/>
    <col min="3077" max="3077" width="8.85546875" customWidth="1"/>
    <col min="3078" max="3078" width="11" customWidth="1"/>
    <col min="3079" max="3079" width="9.7109375" customWidth="1"/>
    <col min="3080" max="3080" width="9.42578125" customWidth="1"/>
    <col min="3081" max="3081" width="11.7109375" customWidth="1"/>
    <col min="3082" max="3083" width="11.85546875" customWidth="1"/>
    <col min="3084" max="3084" width="11.140625" customWidth="1"/>
    <col min="3085" max="3085" width="10.85546875" customWidth="1"/>
    <col min="3086" max="3086" width="9.140625" customWidth="1"/>
    <col min="3087" max="3087" width="9.7109375" customWidth="1"/>
    <col min="3088" max="3088" width="10.85546875" customWidth="1"/>
    <col min="3089" max="3089" width="12.42578125" customWidth="1"/>
    <col min="3090" max="3090" width="13.5703125" customWidth="1"/>
    <col min="3091" max="3091" width="11.28515625" customWidth="1"/>
    <col min="3092" max="3092" width="11.28515625" bestFit="1" customWidth="1"/>
    <col min="3329" max="3329" width="16.85546875" customWidth="1"/>
    <col min="3330" max="3330" width="14.140625" customWidth="1"/>
    <col min="3331" max="3331" width="11.5703125" customWidth="1"/>
    <col min="3332" max="3332" width="9" customWidth="1"/>
    <col min="3333" max="3333" width="8.85546875" customWidth="1"/>
    <col min="3334" max="3334" width="11" customWidth="1"/>
    <col min="3335" max="3335" width="9.7109375" customWidth="1"/>
    <col min="3336" max="3336" width="9.42578125" customWidth="1"/>
    <col min="3337" max="3337" width="11.7109375" customWidth="1"/>
    <col min="3338" max="3339" width="11.85546875" customWidth="1"/>
    <col min="3340" max="3340" width="11.140625" customWidth="1"/>
    <col min="3341" max="3341" width="10.85546875" customWidth="1"/>
    <col min="3342" max="3342" width="9.140625" customWidth="1"/>
    <col min="3343" max="3343" width="9.7109375" customWidth="1"/>
    <col min="3344" max="3344" width="10.85546875" customWidth="1"/>
    <col min="3345" max="3345" width="12.42578125" customWidth="1"/>
    <col min="3346" max="3346" width="13.5703125" customWidth="1"/>
    <col min="3347" max="3347" width="11.28515625" customWidth="1"/>
    <col min="3348" max="3348" width="11.28515625" bestFit="1" customWidth="1"/>
    <col min="3585" max="3585" width="16.85546875" customWidth="1"/>
    <col min="3586" max="3586" width="14.140625" customWidth="1"/>
    <col min="3587" max="3587" width="11.5703125" customWidth="1"/>
    <col min="3588" max="3588" width="9" customWidth="1"/>
    <col min="3589" max="3589" width="8.85546875" customWidth="1"/>
    <col min="3590" max="3590" width="11" customWidth="1"/>
    <col min="3591" max="3591" width="9.7109375" customWidth="1"/>
    <col min="3592" max="3592" width="9.42578125" customWidth="1"/>
    <col min="3593" max="3593" width="11.7109375" customWidth="1"/>
    <col min="3594" max="3595" width="11.85546875" customWidth="1"/>
    <col min="3596" max="3596" width="11.140625" customWidth="1"/>
    <col min="3597" max="3597" width="10.85546875" customWidth="1"/>
    <col min="3598" max="3598" width="9.140625" customWidth="1"/>
    <col min="3599" max="3599" width="9.7109375" customWidth="1"/>
    <col min="3600" max="3600" width="10.85546875" customWidth="1"/>
    <col min="3601" max="3601" width="12.42578125" customWidth="1"/>
    <col min="3602" max="3602" width="13.5703125" customWidth="1"/>
    <col min="3603" max="3603" width="11.28515625" customWidth="1"/>
    <col min="3604" max="3604" width="11.28515625" bestFit="1" customWidth="1"/>
    <col min="3841" max="3841" width="16.85546875" customWidth="1"/>
    <col min="3842" max="3842" width="14.140625" customWidth="1"/>
    <col min="3843" max="3843" width="11.5703125" customWidth="1"/>
    <col min="3844" max="3844" width="9" customWidth="1"/>
    <col min="3845" max="3845" width="8.85546875" customWidth="1"/>
    <col min="3846" max="3846" width="11" customWidth="1"/>
    <col min="3847" max="3847" width="9.7109375" customWidth="1"/>
    <col min="3848" max="3848" width="9.42578125" customWidth="1"/>
    <col min="3849" max="3849" width="11.7109375" customWidth="1"/>
    <col min="3850" max="3851" width="11.85546875" customWidth="1"/>
    <col min="3852" max="3852" width="11.140625" customWidth="1"/>
    <col min="3853" max="3853" width="10.85546875" customWidth="1"/>
    <col min="3854" max="3854" width="9.140625" customWidth="1"/>
    <col min="3855" max="3855" width="9.7109375" customWidth="1"/>
    <col min="3856" max="3856" width="10.85546875" customWidth="1"/>
    <col min="3857" max="3857" width="12.42578125" customWidth="1"/>
    <col min="3858" max="3858" width="13.5703125" customWidth="1"/>
    <col min="3859" max="3859" width="11.28515625" customWidth="1"/>
    <col min="3860" max="3860" width="11.28515625" bestFit="1" customWidth="1"/>
    <col min="4097" max="4097" width="16.85546875" customWidth="1"/>
    <col min="4098" max="4098" width="14.140625" customWidth="1"/>
    <col min="4099" max="4099" width="11.5703125" customWidth="1"/>
    <col min="4100" max="4100" width="9" customWidth="1"/>
    <col min="4101" max="4101" width="8.85546875" customWidth="1"/>
    <col min="4102" max="4102" width="11" customWidth="1"/>
    <col min="4103" max="4103" width="9.7109375" customWidth="1"/>
    <col min="4104" max="4104" width="9.42578125" customWidth="1"/>
    <col min="4105" max="4105" width="11.7109375" customWidth="1"/>
    <col min="4106" max="4107" width="11.85546875" customWidth="1"/>
    <col min="4108" max="4108" width="11.140625" customWidth="1"/>
    <col min="4109" max="4109" width="10.85546875" customWidth="1"/>
    <col min="4110" max="4110" width="9.140625" customWidth="1"/>
    <col min="4111" max="4111" width="9.7109375" customWidth="1"/>
    <col min="4112" max="4112" width="10.85546875" customWidth="1"/>
    <col min="4113" max="4113" width="12.42578125" customWidth="1"/>
    <col min="4114" max="4114" width="13.5703125" customWidth="1"/>
    <col min="4115" max="4115" width="11.28515625" customWidth="1"/>
    <col min="4116" max="4116" width="11.28515625" bestFit="1" customWidth="1"/>
    <col min="4353" max="4353" width="16.85546875" customWidth="1"/>
    <col min="4354" max="4354" width="14.140625" customWidth="1"/>
    <col min="4355" max="4355" width="11.5703125" customWidth="1"/>
    <col min="4356" max="4356" width="9" customWidth="1"/>
    <col min="4357" max="4357" width="8.85546875" customWidth="1"/>
    <col min="4358" max="4358" width="11" customWidth="1"/>
    <col min="4359" max="4359" width="9.7109375" customWidth="1"/>
    <col min="4360" max="4360" width="9.42578125" customWidth="1"/>
    <col min="4361" max="4361" width="11.7109375" customWidth="1"/>
    <col min="4362" max="4363" width="11.85546875" customWidth="1"/>
    <col min="4364" max="4364" width="11.140625" customWidth="1"/>
    <col min="4365" max="4365" width="10.85546875" customWidth="1"/>
    <col min="4366" max="4366" width="9.140625" customWidth="1"/>
    <col min="4367" max="4367" width="9.7109375" customWidth="1"/>
    <col min="4368" max="4368" width="10.85546875" customWidth="1"/>
    <col min="4369" max="4369" width="12.42578125" customWidth="1"/>
    <col min="4370" max="4370" width="13.5703125" customWidth="1"/>
    <col min="4371" max="4371" width="11.28515625" customWidth="1"/>
    <col min="4372" max="4372" width="11.28515625" bestFit="1" customWidth="1"/>
    <col min="4609" max="4609" width="16.85546875" customWidth="1"/>
    <col min="4610" max="4610" width="14.140625" customWidth="1"/>
    <col min="4611" max="4611" width="11.5703125" customWidth="1"/>
    <col min="4612" max="4612" width="9" customWidth="1"/>
    <col min="4613" max="4613" width="8.85546875" customWidth="1"/>
    <col min="4614" max="4614" width="11" customWidth="1"/>
    <col min="4615" max="4615" width="9.7109375" customWidth="1"/>
    <col min="4616" max="4616" width="9.42578125" customWidth="1"/>
    <col min="4617" max="4617" width="11.7109375" customWidth="1"/>
    <col min="4618" max="4619" width="11.85546875" customWidth="1"/>
    <col min="4620" max="4620" width="11.140625" customWidth="1"/>
    <col min="4621" max="4621" width="10.85546875" customWidth="1"/>
    <col min="4622" max="4622" width="9.140625" customWidth="1"/>
    <col min="4623" max="4623" width="9.7109375" customWidth="1"/>
    <col min="4624" max="4624" width="10.85546875" customWidth="1"/>
    <col min="4625" max="4625" width="12.42578125" customWidth="1"/>
    <col min="4626" max="4626" width="13.5703125" customWidth="1"/>
    <col min="4627" max="4627" width="11.28515625" customWidth="1"/>
    <col min="4628" max="4628" width="11.28515625" bestFit="1" customWidth="1"/>
    <col min="4865" max="4865" width="16.85546875" customWidth="1"/>
    <col min="4866" max="4866" width="14.140625" customWidth="1"/>
    <col min="4867" max="4867" width="11.5703125" customWidth="1"/>
    <col min="4868" max="4868" width="9" customWidth="1"/>
    <col min="4869" max="4869" width="8.85546875" customWidth="1"/>
    <col min="4870" max="4870" width="11" customWidth="1"/>
    <col min="4871" max="4871" width="9.7109375" customWidth="1"/>
    <col min="4872" max="4872" width="9.42578125" customWidth="1"/>
    <col min="4873" max="4873" width="11.7109375" customWidth="1"/>
    <col min="4874" max="4875" width="11.85546875" customWidth="1"/>
    <col min="4876" max="4876" width="11.140625" customWidth="1"/>
    <col min="4877" max="4877" width="10.85546875" customWidth="1"/>
    <col min="4878" max="4878" width="9.140625" customWidth="1"/>
    <col min="4879" max="4879" width="9.7109375" customWidth="1"/>
    <col min="4880" max="4880" width="10.85546875" customWidth="1"/>
    <col min="4881" max="4881" width="12.42578125" customWidth="1"/>
    <col min="4882" max="4882" width="13.5703125" customWidth="1"/>
    <col min="4883" max="4883" width="11.28515625" customWidth="1"/>
    <col min="4884" max="4884" width="11.28515625" bestFit="1" customWidth="1"/>
    <col min="5121" max="5121" width="16.85546875" customWidth="1"/>
    <col min="5122" max="5122" width="14.140625" customWidth="1"/>
    <col min="5123" max="5123" width="11.5703125" customWidth="1"/>
    <col min="5124" max="5124" width="9" customWidth="1"/>
    <col min="5125" max="5125" width="8.85546875" customWidth="1"/>
    <col min="5126" max="5126" width="11" customWidth="1"/>
    <col min="5127" max="5127" width="9.7109375" customWidth="1"/>
    <col min="5128" max="5128" width="9.42578125" customWidth="1"/>
    <col min="5129" max="5129" width="11.7109375" customWidth="1"/>
    <col min="5130" max="5131" width="11.85546875" customWidth="1"/>
    <col min="5132" max="5132" width="11.140625" customWidth="1"/>
    <col min="5133" max="5133" width="10.85546875" customWidth="1"/>
    <col min="5134" max="5134" width="9.140625" customWidth="1"/>
    <col min="5135" max="5135" width="9.7109375" customWidth="1"/>
    <col min="5136" max="5136" width="10.85546875" customWidth="1"/>
    <col min="5137" max="5137" width="12.42578125" customWidth="1"/>
    <col min="5138" max="5138" width="13.5703125" customWidth="1"/>
    <col min="5139" max="5139" width="11.28515625" customWidth="1"/>
    <col min="5140" max="5140" width="11.28515625" bestFit="1" customWidth="1"/>
    <col min="5377" max="5377" width="16.85546875" customWidth="1"/>
    <col min="5378" max="5378" width="14.140625" customWidth="1"/>
    <col min="5379" max="5379" width="11.5703125" customWidth="1"/>
    <col min="5380" max="5380" width="9" customWidth="1"/>
    <col min="5381" max="5381" width="8.85546875" customWidth="1"/>
    <col min="5382" max="5382" width="11" customWidth="1"/>
    <col min="5383" max="5383" width="9.7109375" customWidth="1"/>
    <col min="5384" max="5384" width="9.42578125" customWidth="1"/>
    <col min="5385" max="5385" width="11.7109375" customWidth="1"/>
    <col min="5386" max="5387" width="11.85546875" customWidth="1"/>
    <col min="5388" max="5388" width="11.140625" customWidth="1"/>
    <col min="5389" max="5389" width="10.85546875" customWidth="1"/>
    <col min="5390" max="5390" width="9.140625" customWidth="1"/>
    <col min="5391" max="5391" width="9.7109375" customWidth="1"/>
    <col min="5392" max="5392" width="10.85546875" customWidth="1"/>
    <col min="5393" max="5393" width="12.42578125" customWidth="1"/>
    <col min="5394" max="5394" width="13.5703125" customWidth="1"/>
    <col min="5395" max="5395" width="11.28515625" customWidth="1"/>
    <col min="5396" max="5396" width="11.28515625" bestFit="1" customWidth="1"/>
    <col min="5633" max="5633" width="16.85546875" customWidth="1"/>
    <col min="5634" max="5634" width="14.140625" customWidth="1"/>
    <col min="5635" max="5635" width="11.5703125" customWidth="1"/>
    <col min="5636" max="5636" width="9" customWidth="1"/>
    <col min="5637" max="5637" width="8.85546875" customWidth="1"/>
    <col min="5638" max="5638" width="11" customWidth="1"/>
    <col min="5639" max="5639" width="9.7109375" customWidth="1"/>
    <col min="5640" max="5640" width="9.42578125" customWidth="1"/>
    <col min="5641" max="5641" width="11.7109375" customWidth="1"/>
    <col min="5642" max="5643" width="11.85546875" customWidth="1"/>
    <col min="5644" max="5644" width="11.140625" customWidth="1"/>
    <col min="5645" max="5645" width="10.85546875" customWidth="1"/>
    <col min="5646" max="5646" width="9.140625" customWidth="1"/>
    <col min="5647" max="5647" width="9.7109375" customWidth="1"/>
    <col min="5648" max="5648" width="10.85546875" customWidth="1"/>
    <col min="5649" max="5649" width="12.42578125" customWidth="1"/>
    <col min="5650" max="5650" width="13.5703125" customWidth="1"/>
    <col min="5651" max="5651" width="11.28515625" customWidth="1"/>
    <col min="5652" max="5652" width="11.28515625" bestFit="1" customWidth="1"/>
    <col min="5889" max="5889" width="16.85546875" customWidth="1"/>
    <col min="5890" max="5890" width="14.140625" customWidth="1"/>
    <col min="5891" max="5891" width="11.5703125" customWidth="1"/>
    <col min="5892" max="5892" width="9" customWidth="1"/>
    <col min="5893" max="5893" width="8.85546875" customWidth="1"/>
    <col min="5894" max="5894" width="11" customWidth="1"/>
    <col min="5895" max="5895" width="9.7109375" customWidth="1"/>
    <col min="5896" max="5896" width="9.42578125" customWidth="1"/>
    <col min="5897" max="5897" width="11.7109375" customWidth="1"/>
    <col min="5898" max="5899" width="11.85546875" customWidth="1"/>
    <col min="5900" max="5900" width="11.140625" customWidth="1"/>
    <col min="5901" max="5901" width="10.85546875" customWidth="1"/>
    <col min="5902" max="5902" width="9.140625" customWidth="1"/>
    <col min="5903" max="5903" width="9.7109375" customWidth="1"/>
    <col min="5904" max="5904" width="10.85546875" customWidth="1"/>
    <col min="5905" max="5905" width="12.42578125" customWidth="1"/>
    <col min="5906" max="5906" width="13.5703125" customWidth="1"/>
    <col min="5907" max="5907" width="11.28515625" customWidth="1"/>
    <col min="5908" max="5908" width="11.28515625" bestFit="1" customWidth="1"/>
    <col min="6145" max="6145" width="16.85546875" customWidth="1"/>
    <col min="6146" max="6146" width="14.140625" customWidth="1"/>
    <col min="6147" max="6147" width="11.5703125" customWidth="1"/>
    <col min="6148" max="6148" width="9" customWidth="1"/>
    <col min="6149" max="6149" width="8.85546875" customWidth="1"/>
    <col min="6150" max="6150" width="11" customWidth="1"/>
    <col min="6151" max="6151" width="9.7109375" customWidth="1"/>
    <col min="6152" max="6152" width="9.42578125" customWidth="1"/>
    <col min="6153" max="6153" width="11.7109375" customWidth="1"/>
    <col min="6154" max="6155" width="11.85546875" customWidth="1"/>
    <col min="6156" max="6156" width="11.140625" customWidth="1"/>
    <col min="6157" max="6157" width="10.85546875" customWidth="1"/>
    <col min="6158" max="6158" width="9.140625" customWidth="1"/>
    <col min="6159" max="6159" width="9.7109375" customWidth="1"/>
    <col min="6160" max="6160" width="10.85546875" customWidth="1"/>
    <col min="6161" max="6161" width="12.42578125" customWidth="1"/>
    <col min="6162" max="6162" width="13.5703125" customWidth="1"/>
    <col min="6163" max="6163" width="11.28515625" customWidth="1"/>
    <col min="6164" max="6164" width="11.28515625" bestFit="1" customWidth="1"/>
    <col min="6401" max="6401" width="16.85546875" customWidth="1"/>
    <col min="6402" max="6402" width="14.140625" customWidth="1"/>
    <col min="6403" max="6403" width="11.5703125" customWidth="1"/>
    <col min="6404" max="6404" width="9" customWidth="1"/>
    <col min="6405" max="6405" width="8.85546875" customWidth="1"/>
    <col min="6406" max="6406" width="11" customWidth="1"/>
    <col min="6407" max="6407" width="9.7109375" customWidth="1"/>
    <col min="6408" max="6408" width="9.42578125" customWidth="1"/>
    <col min="6409" max="6409" width="11.7109375" customWidth="1"/>
    <col min="6410" max="6411" width="11.85546875" customWidth="1"/>
    <col min="6412" max="6412" width="11.140625" customWidth="1"/>
    <col min="6413" max="6413" width="10.85546875" customWidth="1"/>
    <col min="6414" max="6414" width="9.140625" customWidth="1"/>
    <col min="6415" max="6415" width="9.7109375" customWidth="1"/>
    <col min="6416" max="6416" width="10.85546875" customWidth="1"/>
    <col min="6417" max="6417" width="12.42578125" customWidth="1"/>
    <col min="6418" max="6418" width="13.5703125" customWidth="1"/>
    <col min="6419" max="6419" width="11.28515625" customWidth="1"/>
    <col min="6420" max="6420" width="11.28515625" bestFit="1" customWidth="1"/>
    <col min="6657" max="6657" width="16.85546875" customWidth="1"/>
    <col min="6658" max="6658" width="14.140625" customWidth="1"/>
    <col min="6659" max="6659" width="11.5703125" customWidth="1"/>
    <col min="6660" max="6660" width="9" customWidth="1"/>
    <col min="6661" max="6661" width="8.85546875" customWidth="1"/>
    <col min="6662" max="6662" width="11" customWidth="1"/>
    <col min="6663" max="6663" width="9.7109375" customWidth="1"/>
    <col min="6664" max="6664" width="9.42578125" customWidth="1"/>
    <col min="6665" max="6665" width="11.7109375" customWidth="1"/>
    <col min="6666" max="6667" width="11.85546875" customWidth="1"/>
    <col min="6668" max="6668" width="11.140625" customWidth="1"/>
    <col min="6669" max="6669" width="10.85546875" customWidth="1"/>
    <col min="6670" max="6670" width="9.140625" customWidth="1"/>
    <col min="6671" max="6671" width="9.7109375" customWidth="1"/>
    <col min="6672" max="6672" width="10.85546875" customWidth="1"/>
    <col min="6673" max="6673" width="12.42578125" customWidth="1"/>
    <col min="6674" max="6674" width="13.5703125" customWidth="1"/>
    <col min="6675" max="6675" width="11.28515625" customWidth="1"/>
    <col min="6676" max="6676" width="11.28515625" bestFit="1" customWidth="1"/>
    <col min="6913" max="6913" width="16.85546875" customWidth="1"/>
    <col min="6914" max="6914" width="14.140625" customWidth="1"/>
    <col min="6915" max="6915" width="11.5703125" customWidth="1"/>
    <col min="6916" max="6916" width="9" customWidth="1"/>
    <col min="6917" max="6917" width="8.85546875" customWidth="1"/>
    <col min="6918" max="6918" width="11" customWidth="1"/>
    <col min="6919" max="6919" width="9.7109375" customWidth="1"/>
    <col min="6920" max="6920" width="9.42578125" customWidth="1"/>
    <col min="6921" max="6921" width="11.7109375" customWidth="1"/>
    <col min="6922" max="6923" width="11.85546875" customWidth="1"/>
    <col min="6924" max="6924" width="11.140625" customWidth="1"/>
    <col min="6925" max="6925" width="10.85546875" customWidth="1"/>
    <col min="6926" max="6926" width="9.140625" customWidth="1"/>
    <col min="6927" max="6927" width="9.7109375" customWidth="1"/>
    <col min="6928" max="6928" width="10.85546875" customWidth="1"/>
    <col min="6929" max="6929" width="12.42578125" customWidth="1"/>
    <col min="6930" max="6930" width="13.5703125" customWidth="1"/>
    <col min="6931" max="6931" width="11.28515625" customWidth="1"/>
    <col min="6932" max="6932" width="11.28515625" bestFit="1" customWidth="1"/>
    <col min="7169" max="7169" width="16.85546875" customWidth="1"/>
    <col min="7170" max="7170" width="14.140625" customWidth="1"/>
    <col min="7171" max="7171" width="11.5703125" customWidth="1"/>
    <col min="7172" max="7172" width="9" customWidth="1"/>
    <col min="7173" max="7173" width="8.85546875" customWidth="1"/>
    <col min="7174" max="7174" width="11" customWidth="1"/>
    <col min="7175" max="7175" width="9.7109375" customWidth="1"/>
    <col min="7176" max="7176" width="9.42578125" customWidth="1"/>
    <col min="7177" max="7177" width="11.7109375" customWidth="1"/>
    <col min="7178" max="7179" width="11.85546875" customWidth="1"/>
    <col min="7180" max="7180" width="11.140625" customWidth="1"/>
    <col min="7181" max="7181" width="10.85546875" customWidth="1"/>
    <col min="7182" max="7182" width="9.140625" customWidth="1"/>
    <col min="7183" max="7183" width="9.7109375" customWidth="1"/>
    <col min="7184" max="7184" width="10.85546875" customWidth="1"/>
    <col min="7185" max="7185" width="12.42578125" customWidth="1"/>
    <col min="7186" max="7186" width="13.5703125" customWidth="1"/>
    <col min="7187" max="7187" width="11.28515625" customWidth="1"/>
    <col min="7188" max="7188" width="11.28515625" bestFit="1" customWidth="1"/>
    <col min="7425" max="7425" width="16.85546875" customWidth="1"/>
    <col min="7426" max="7426" width="14.140625" customWidth="1"/>
    <col min="7427" max="7427" width="11.5703125" customWidth="1"/>
    <col min="7428" max="7428" width="9" customWidth="1"/>
    <col min="7429" max="7429" width="8.85546875" customWidth="1"/>
    <col min="7430" max="7430" width="11" customWidth="1"/>
    <col min="7431" max="7431" width="9.7109375" customWidth="1"/>
    <col min="7432" max="7432" width="9.42578125" customWidth="1"/>
    <col min="7433" max="7433" width="11.7109375" customWidth="1"/>
    <col min="7434" max="7435" width="11.85546875" customWidth="1"/>
    <col min="7436" max="7436" width="11.140625" customWidth="1"/>
    <col min="7437" max="7437" width="10.85546875" customWidth="1"/>
    <col min="7438" max="7438" width="9.140625" customWidth="1"/>
    <col min="7439" max="7439" width="9.7109375" customWidth="1"/>
    <col min="7440" max="7440" width="10.85546875" customWidth="1"/>
    <col min="7441" max="7441" width="12.42578125" customWidth="1"/>
    <col min="7442" max="7442" width="13.5703125" customWidth="1"/>
    <col min="7443" max="7443" width="11.28515625" customWidth="1"/>
    <col min="7444" max="7444" width="11.28515625" bestFit="1" customWidth="1"/>
    <col min="7681" max="7681" width="16.85546875" customWidth="1"/>
    <col min="7682" max="7682" width="14.140625" customWidth="1"/>
    <col min="7683" max="7683" width="11.5703125" customWidth="1"/>
    <col min="7684" max="7684" width="9" customWidth="1"/>
    <col min="7685" max="7685" width="8.85546875" customWidth="1"/>
    <col min="7686" max="7686" width="11" customWidth="1"/>
    <col min="7687" max="7687" width="9.7109375" customWidth="1"/>
    <col min="7688" max="7688" width="9.42578125" customWidth="1"/>
    <col min="7689" max="7689" width="11.7109375" customWidth="1"/>
    <col min="7690" max="7691" width="11.85546875" customWidth="1"/>
    <col min="7692" max="7692" width="11.140625" customWidth="1"/>
    <col min="7693" max="7693" width="10.85546875" customWidth="1"/>
    <col min="7694" max="7694" width="9.140625" customWidth="1"/>
    <col min="7695" max="7695" width="9.7109375" customWidth="1"/>
    <col min="7696" max="7696" width="10.85546875" customWidth="1"/>
    <col min="7697" max="7697" width="12.42578125" customWidth="1"/>
    <col min="7698" max="7698" width="13.5703125" customWidth="1"/>
    <col min="7699" max="7699" width="11.28515625" customWidth="1"/>
    <col min="7700" max="7700" width="11.28515625" bestFit="1" customWidth="1"/>
    <col min="7937" max="7937" width="16.85546875" customWidth="1"/>
    <col min="7938" max="7938" width="14.140625" customWidth="1"/>
    <col min="7939" max="7939" width="11.5703125" customWidth="1"/>
    <col min="7940" max="7940" width="9" customWidth="1"/>
    <col min="7941" max="7941" width="8.85546875" customWidth="1"/>
    <col min="7942" max="7942" width="11" customWidth="1"/>
    <col min="7943" max="7943" width="9.7109375" customWidth="1"/>
    <col min="7944" max="7944" width="9.42578125" customWidth="1"/>
    <col min="7945" max="7945" width="11.7109375" customWidth="1"/>
    <col min="7946" max="7947" width="11.85546875" customWidth="1"/>
    <col min="7948" max="7948" width="11.140625" customWidth="1"/>
    <col min="7949" max="7949" width="10.85546875" customWidth="1"/>
    <col min="7950" max="7950" width="9.140625" customWidth="1"/>
    <col min="7951" max="7951" width="9.7109375" customWidth="1"/>
    <col min="7952" max="7952" width="10.85546875" customWidth="1"/>
    <col min="7953" max="7953" width="12.42578125" customWidth="1"/>
    <col min="7954" max="7954" width="13.5703125" customWidth="1"/>
    <col min="7955" max="7955" width="11.28515625" customWidth="1"/>
    <col min="7956" max="7956" width="11.28515625" bestFit="1" customWidth="1"/>
    <col min="8193" max="8193" width="16.85546875" customWidth="1"/>
    <col min="8194" max="8194" width="14.140625" customWidth="1"/>
    <col min="8195" max="8195" width="11.5703125" customWidth="1"/>
    <col min="8196" max="8196" width="9" customWidth="1"/>
    <col min="8197" max="8197" width="8.85546875" customWidth="1"/>
    <col min="8198" max="8198" width="11" customWidth="1"/>
    <col min="8199" max="8199" width="9.7109375" customWidth="1"/>
    <col min="8200" max="8200" width="9.42578125" customWidth="1"/>
    <col min="8201" max="8201" width="11.7109375" customWidth="1"/>
    <col min="8202" max="8203" width="11.85546875" customWidth="1"/>
    <col min="8204" max="8204" width="11.140625" customWidth="1"/>
    <col min="8205" max="8205" width="10.85546875" customWidth="1"/>
    <col min="8206" max="8206" width="9.140625" customWidth="1"/>
    <col min="8207" max="8207" width="9.7109375" customWidth="1"/>
    <col min="8208" max="8208" width="10.85546875" customWidth="1"/>
    <col min="8209" max="8209" width="12.42578125" customWidth="1"/>
    <col min="8210" max="8210" width="13.5703125" customWidth="1"/>
    <col min="8211" max="8211" width="11.28515625" customWidth="1"/>
    <col min="8212" max="8212" width="11.28515625" bestFit="1" customWidth="1"/>
    <col min="8449" max="8449" width="16.85546875" customWidth="1"/>
    <col min="8450" max="8450" width="14.140625" customWidth="1"/>
    <col min="8451" max="8451" width="11.5703125" customWidth="1"/>
    <col min="8452" max="8452" width="9" customWidth="1"/>
    <col min="8453" max="8453" width="8.85546875" customWidth="1"/>
    <col min="8454" max="8454" width="11" customWidth="1"/>
    <col min="8455" max="8455" width="9.7109375" customWidth="1"/>
    <col min="8456" max="8456" width="9.42578125" customWidth="1"/>
    <col min="8457" max="8457" width="11.7109375" customWidth="1"/>
    <col min="8458" max="8459" width="11.85546875" customWidth="1"/>
    <col min="8460" max="8460" width="11.140625" customWidth="1"/>
    <col min="8461" max="8461" width="10.85546875" customWidth="1"/>
    <col min="8462" max="8462" width="9.140625" customWidth="1"/>
    <col min="8463" max="8463" width="9.7109375" customWidth="1"/>
    <col min="8464" max="8464" width="10.85546875" customWidth="1"/>
    <col min="8465" max="8465" width="12.42578125" customWidth="1"/>
    <col min="8466" max="8466" width="13.5703125" customWidth="1"/>
    <col min="8467" max="8467" width="11.28515625" customWidth="1"/>
    <col min="8468" max="8468" width="11.28515625" bestFit="1" customWidth="1"/>
    <col min="8705" max="8705" width="16.85546875" customWidth="1"/>
    <col min="8706" max="8706" width="14.140625" customWidth="1"/>
    <col min="8707" max="8707" width="11.5703125" customWidth="1"/>
    <col min="8708" max="8708" width="9" customWidth="1"/>
    <col min="8709" max="8709" width="8.85546875" customWidth="1"/>
    <col min="8710" max="8710" width="11" customWidth="1"/>
    <col min="8711" max="8711" width="9.7109375" customWidth="1"/>
    <col min="8712" max="8712" width="9.42578125" customWidth="1"/>
    <col min="8713" max="8713" width="11.7109375" customWidth="1"/>
    <col min="8714" max="8715" width="11.85546875" customWidth="1"/>
    <col min="8716" max="8716" width="11.140625" customWidth="1"/>
    <col min="8717" max="8717" width="10.85546875" customWidth="1"/>
    <col min="8718" max="8718" width="9.140625" customWidth="1"/>
    <col min="8719" max="8719" width="9.7109375" customWidth="1"/>
    <col min="8720" max="8720" width="10.85546875" customWidth="1"/>
    <col min="8721" max="8721" width="12.42578125" customWidth="1"/>
    <col min="8722" max="8722" width="13.5703125" customWidth="1"/>
    <col min="8723" max="8723" width="11.28515625" customWidth="1"/>
    <col min="8724" max="8724" width="11.28515625" bestFit="1" customWidth="1"/>
    <col min="8961" max="8961" width="16.85546875" customWidth="1"/>
    <col min="8962" max="8962" width="14.140625" customWidth="1"/>
    <col min="8963" max="8963" width="11.5703125" customWidth="1"/>
    <col min="8964" max="8964" width="9" customWidth="1"/>
    <col min="8965" max="8965" width="8.85546875" customWidth="1"/>
    <col min="8966" max="8966" width="11" customWidth="1"/>
    <col min="8967" max="8967" width="9.7109375" customWidth="1"/>
    <col min="8968" max="8968" width="9.42578125" customWidth="1"/>
    <col min="8969" max="8969" width="11.7109375" customWidth="1"/>
    <col min="8970" max="8971" width="11.85546875" customWidth="1"/>
    <col min="8972" max="8972" width="11.140625" customWidth="1"/>
    <col min="8973" max="8973" width="10.85546875" customWidth="1"/>
    <col min="8974" max="8974" width="9.140625" customWidth="1"/>
    <col min="8975" max="8975" width="9.7109375" customWidth="1"/>
    <col min="8976" max="8976" width="10.85546875" customWidth="1"/>
    <col min="8977" max="8977" width="12.42578125" customWidth="1"/>
    <col min="8978" max="8978" width="13.5703125" customWidth="1"/>
    <col min="8979" max="8979" width="11.28515625" customWidth="1"/>
    <col min="8980" max="8980" width="11.28515625" bestFit="1" customWidth="1"/>
    <col min="9217" max="9217" width="16.85546875" customWidth="1"/>
    <col min="9218" max="9218" width="14.140625" customWidth="1"/>
    <col min="9219" max="9219" width="11.5703125" customWidth="1"/>
    <col min="9220" max="9220" width="9" customWidth="1"/>
    <col min="9221" max="9221" width="8.85546875" customWidth="1"/>
    <col min="9222" max="9222" width="11" customWidth="1"/>
    <col min="9223" max="9223" width="9.7109375" customWidth="1"/>
    <col min="9224" max="9224" width="9.42578125" customWidth="1"/>
    <col min="9225" max="9225" width="11.7109375" customWidth="1"/>
    <col min="9226" max="9227" width="11.85546875" customWidth="1"/>
    <col min="9228" max="9228" width="11.140625" customWidth="1"/>
    <col min="9229" max="9229" width="10.85546875" customWidth="1"/>
    <col min="9230" max="9230" width="9.140625" customWidth="1"/>
    <col min="9231" max="9231" width="9.7109375" customWidth="1"/>
    <col min="9232" max="9232" width="10.85546875" customWidth="1"/>
    <col min="9233" max="9233" width="12.42578125" customWidth="1"/>
    <col min="9234" max="9234" width="13.5703125" customWidth="1"/>
    <col min="9235" max="9235" width="11.28515625" customWidth="1"/>
    <col min="9236" max="9236" width="11.28515625" bestFit="1" customWidth="1"/>
    <col min="9473" max="9473" width="16.85546875" customWidth="1"/>
    <col min="9474" max="9474" width="14.140625" customWidth="1"/>
    <col min="9475" max="9475" width="11.5703125" customWidth="1"/>
    <col min="9476" max="9476" width="9" customWidth="1"/>
    <col min="9477" max="9477" width="8.85546875" customWidth="1"/>
    <col min="9478" max="9478" width="11" customWidth="1"/>
    <col min="9479" max="9479" width="9.7109375" customWidth="1"/>
    <col min="9480" max="9480" width="9.42578125" customWidth="1"/>
    <col min="9481" max="9481" width="11.7109375" customWidth="1"/>
    <col min="9482" max="9483" width="11.85546875" customWidth="1"/>
    <col min="9484" max="9484" width="11.140625" customWidth="1"/>
    <col min="9485" max="9485" width="10.85546875" customWidth="1"/>
    <col min="9486" max="9486" width="9.140625" customWidth="1"/>
    <col min="9487" max="9487" width="9.7109375" customWidth="1"/>
    <col min="9488" max="9488" width="10.85546875" customWidth="1"/>
    <col min="9489" max="9489" width="12.42578125" customWidth="1"/>
    <col min="9490" max="9490" width="13.5703125" customWidth="1"/>
    <col min="9491" max="9491" width="11.28515625" customWidth="1"/>
    <col min="9492" max="9492" width="11.28515625" bestFit="1" customWidth="1"/>
    <col min="9729" max="9729" width="16.85546875" customWidth="1"/>
    <col min="9730" max="9730" width="14.140625" customWidth="1"/>
    <col min="9731" max="9731" width="11.5703125" customWidth="1"/>
    <col min="9732" max="9732" width="9" customWidth="1"/>
    <col min="9733" max="9733" width="8.85546875" customWidth="1"/>
    <col min="9734" max="9734" width="11" customWidth="1"/>
    <col min="9735" max="9735" width="9.7109375" customWidth="1"/>
    <col min="9736" max="9736" width="9.42578125" customWidth="1"/>
    <col min="9737" max="9737" width="11.7109375" customWidth="1"/>
    <col min="9738" max="9739" width="11.85546875" customWidth="1"/>
    <col min="9740" max="9740" width="11.140625" customWidth="1"/>
    <col min="9741" max="9741" width="10.85546875" customWidth="1"/>
    <col min="9742" max="9742" width="9.140625" customWidth="1"/>
    <col min="9743" max="9743" width="9.7109375" customWidth="1"/>
    <col min="9744" max="9744" width="10.85546875" customWidth="1"/>
    <col min="9745" max="9745" width="12.42578125" customWidth="1"/>
    <col min="9746" max="9746" width="13.5703125" customWidth="1"/>
    <col min="9747" max="9747" width="11.28515625" customWidth="1"/>
    <col min="9748" max="9748" width="11.28515625" bestFit="1" customWidth="1"/>
    <col min="9985" max="9985" width="16.85546875" customWidth="1"/>
    <col min="9986" max="9986" width="14.140625" customWidth="1"/>
    <col min="9987" max="9987" width="11.5703125" customWidth="1"/>
    <col min="9988" max="9988" width="9" customWidth="1"/>
    <col min="9989" max="9989" width="8.85546875" customWidth="1"/>
    <col min="9990" max="9990" width="11" customWidth="1"/>
    <col min="9991" max="9991" width="9.7109375" customWidth="1"/>
    <col min="9992" max="9992" width="9.42578125" customWidth="1"/>
    <col min="9993" max="9993" width="11.7109375" customWidth="1"/>
    <col min="9994" max="9995" width="11.85546875" customWidth="1"/>
    <col min="9996" max="9996" width="11.140625" customWidth="1"/>
    <col min="9997" max="9997" width="10.85546875" customWidth="1"/>
    <col min="9998" max="9998" width="9.140625" customWidth="1"/>
    <col min="9999" max="9999" width="9.7109375" customWidth="1"/>
    <col min="10000" max="10000" width="10.85546875" customWidth="1"/>
    <col min="10001" max="10001" width="12.42578125" customWidth="1"/>
    <col min="10002" max="10002" width="13.5703125" customWidth="1"/>
    <col min="10003" max="10003" width="11.28515625" customWidth="1"/>
    <col min="10004" max="10004" width="11.28515625" bestFit="1" customWidth="1"/>
    <col min="10241" max="10241" width="16.85546875" customWidth="1"/>
    <col min="10242" max="10242" width="14.140625" customWidth="1"/>
    <col min="10243" max="10243" width="11.5703125" customWidth="1"/>
    <col min="10244" max="10244" width="9" customWidth="1"/>
    <col min="10245" max="10245" width="8.85546875" customWidth="1"/>
    <col min="10246" max="10246" width="11" customWidth="1"/>
    <col min="10247" max="10247" width="9.7109375" customWidth="1"/>
    <col min="10248" max="10248" width="9.42578125" customWidth="1"/>
    <col min="10249" max="10249" width="11.7109375" customWidth="1"/>
    <col min="10250" max="10251" width="11.85546875" customWidth="1"/>
    <col min="10252" max="10252" width="11.140625" customWidth="1"/>
    <col min="10253" max="10253" width="10.85546875" customWidth="1"/>
    <col min="10254" max="10254" width="9.140625" customWidth="1"/>
    <col min="10255" max="10255" width="9.7109375" customWidth="1"/>
    <col min="10256" max="10256" width="10.85546875" customWidth="1"/>
    <col min="10257" max="10257" width="12.42578125" customWidth="1"/>
    <col min="10258" max="10258" width="13.5703125" customWidth="1"/>
    <col min="10259" max="10259" width="11.28515625" customWidth="1"/>
    <col min="10260" max="10260" width="11.28515625" bestFit="1" customWidth="1"/>
    <col min="10497" max="10497" width="16.85546875" customWidth="1"/>
    <col min="10498" max="10498" width="14.140625" customWidth="1"/>
    <col min="10499" max="10499" width="11.5703125" customWidth="1"/>
    <col min="10500" max="10500" width="9" customWidth="1"/>
    <col min="10501" max="10501" width="8.85546875" customWidth="1"/>
    <col min="10502" max="10502" width="11" customWidth="1"/>
    <col min="10503" max="10503" width="9.7109375" customWidth="1"/>
    <col min="10504" max="10504" width="9.42578125" customWidth="1"/>
    <col min="10505" max="10505" width="11.7109375" customWidth="1"/>
    <col min="10506" max="10507" width="11.85546875" customWidth="1"/>
    <col min="10508" max="10508" width="11.140625" customWidth="1"/>
    <col min="10509" max="10509" width="10.85546875" customWidth="1"/>
    <col min="10510" max="10510" width="9.140625" customWidth="1"/>
    <col min="10511" max="10511" width="9.7109375" customWidth="1"/>
    <col min="10512" max="10512" width="10.85546875" customWidth="1"/>
    <col min="10513" max="10513" width="12.42578125" customWidth="1"/>
    <col min="10514" max="10514" width="13.5703125" customWidth="1"/>
    <col min="10515" max="10515" width="11.28515625" customWidth="1"/>
    <col min="10516" max="10516" width="11.28515625" bestFit="1" customWidth="1"/>
    <col min="10753" max="10753" width="16.85546875" customWidth="1"/>
    <col min="10754" max="10754" width="14.140625" customWidth="1"/>
    <col min="10755" max="10755" width="11.5703125" customWidth="1"/>
    <col min="10756" max="10756" width="9" customWidth="1"/>
    <col min="10757" max="10757" width="8.85546875" customWidth="1"/>
    <col min="10758" max="10758" width="11" customWidth="1"/>
    <col min="10759" max="10759" width="9.7109375" customWidth="1"/>
    <col min="10760" max="10760" width="9.42578125" customWidth="1"/>
    <col min="10761" max="10761" width="11.7109375" customWidth="1"/>
    <col min="10762" max="10763" width="11.85546875" customWidth="1"/>
    <col min="10764" max="10764" width="11.140625" customWidth="1"/>
    <col min="10765" max="10765" width="10.85546875" customWidth="1"/>
    <col min="10766" max="10766" width="9.140625" customWidth="1"/>
    <col min="10767" max="10767" width="9.7109375" customWidth="1"/>
    <col min="10768" max="10768" width="10.85546875" customWidth="1"/>
    <col min="10769" max="10769" width="12.42578125" customWidth="1"/>
    <col min="10770" max="10770" width="13.5703125" customWidth="1"/>
    <col min="10771" max="10771" width="11.28515625" customWidth="1"/>
    <col min="10772" max="10772" width="11.28515625" bestFit="1" customWidth="1"/>
    <col min="11009" max="11009" width="16.85546875" customWidth="1"/>
    <col min="11010" max="11010" width="14.140625" customWidth="1"/>
    <col min="11011" max="11011" width="11.5703125" customWidth="1"/>
    <col min="11012" max="11012" width="9" customWidth="1"/>
    <col min="11013" max="11013" width="8.85546875" customWidth="1"/>
    <col min="11014" max="11014" width="11" customWidth="1"/>
    <col min="11015" max="11015" width="9.7109375" customWidth="1"/>
    <col min="11016" max="11016" width="9.42578125" customWidth="1"/>
    <col min="11017" max="11017" width="11.7109375" customWidth="1"/>
    <col min="11018" max="11019" width="11.85546875" customWidth="1"/>
    <col min="11020" max="11020" width="11.140625" customWidth="1"/>
    <col min="11021" max="11021" width="10.85546875" customWidth="1"/>
    <col min="11022" max="11022" width="9.140625" customWidth="1"/>
    <col min="11023" max="11023" width="9.7109375" customWidth="1"/>
    <col min="11024" max="11024" width="10.85546875" customWidth="1"/>
    <col min="11025" max="11025" width="12.42578125" customWidth="1"/>
    <col min="11026" max="11026" width="13.5703125" customWidth="1"/>
    <col min="11027" max="11027" width="11.28515625" customWidth="1"/>
    <col min="11028" max="11028" width="11.28515625" bestFit="1" customWidth="1"/>
    <col min="11265" max="11265" width="16.85546875" customWidth="1"/>
    <col min="11266" max="11266" width="14.140625" customWidth="1"/>
    <col min="11267" max="11267" width="11.5703125" customWidth="1"/>
    <col min="11268" max="11268" width="9" customWidth="1"/>
    <col min="11269" max="11269" width="8.85546875" customWidth="1"/>
    <col min="11270" max="11270" width="11" customWidth="1"/>
    <col min="11271" max="11271" width="9.7109375" customWidth="1"/>
    <col min="11272" max="11272" width="9.42578125" customWidth="1"/>
    <col min="11273" max="11273" width="11.7109375" customWidth="1"/>
    <col min="11274" max="11275" width="11.85546875" customWidth="1"/>
    <col min="11276" max="11276" width="11.140625" customWidth="1"/>
    <col min="11277" max="11277" width="10.85546875" customWidth="1"/>
    <col min="11278" max="11278" width="9.140625" customWidth="1"/>
    <col min="11279" max="11279" width="9.7109375" customWidth="1"/>
    <col min="11280" max="11280" width="10.85546875" customWidth="1"/>
    <col min="11281" max="11281" width="12.42578125" customWidth="1"/>
    <col min="11282" max="11282" width="13.5703125" customWidth="1"/>
    <col min="11283" max="11283" width="11.28515625" customWidth="1"/>
    <col min="11284" max="11284" width="11.28515625" bestFit="1" customWidth="1"/>
    <col min="11521" max="11521" width="16.85546875" customWidth="1"/>
    <col min="11522" max="11522" width="14.140625" customWidth="1"/>
    <col min="11523" max="11523" width="11.5703125" customWidth="1"/>
    <col min="11524" max="11524" width="9" customWidth="1"/>
    <col min="11525" max="11525" width="8.85546875" customWidth="1"/>
    <col min="11526" max="11526" width="11" customWidth="1"/>
    <col min="11527" max="11527" width="9.7109375" customWidth="1"/>
    <col min="11528" max="11528" width="9.42578125" customWidth="1"/>
    <col min="11529" max="11529" width="11.7109375" customWidth="1"/>
    <col min="11530" max="11531" width="11.85546875" customWidth="1"/>
    <col min="11532" max="11532" width="11.140625" customWidth="1"/>
    <col min="11533" max="11533" width="10.85546875" customWidth="1"/>
    <col min="11534" max="11534" width="9.140625" customWidth="1"/>
    <col min="11535" max="11535" width="9.7109375" customWidth="1"/>
    <col min="11536" max="11536" width="10.85546875" customWidth="1"/>
    <col min="11537" max="11537" width="12.42578125" customWidth="1"/>
    <col min="11538" max="11538" width="13.5703125" customWidth="1"/>
    <col min="11539" max="11539" width="11.28515625" customWidth="1"/>
    <col min="11540" max="11540" width="11.28515625" bestFit="1" customWidth="1"/>
    <col min="11777" max="11777" width="16.85546875" customWidth="1"/>
    <col min="11778" max="11778" width="14.140625" customWidth="1"/>
    <col min="11779" max="11779" width="11.5703125" customWidth="1"/>
    <col min="11780" max="11780" width="9" customWidth="1"/>
    <col min="11781" max="11781" width="8.85546875" customWidth="1"/>
    <col min="11782" max="11782" width="11" customWidth="1"/>
    <col min="11783" max="11783" width="9.7109375" customWidth="1"/>
    <col min="11784" max="11784" width="9.42578125" customWidth="1"/>
    <col min="11785" max="11785" width="11.7109375" customWidth="1"/>
    <col min="11786" max="11787" width="11.85546875" customWidth="1"/>
    <col min="11788" max="11788" width="11.140625" customWidth="1"/>
    <col min="11789" max="11789" width="10.85546875" customWidth="1"/>
    <col min="11790" max="11790" width="9.140625" customWidth="1"/>
    <col min="11791" max="11791" width="9.7109375" customWidth="1"/>
    <col min="11792" max="11792" width="10.85546875" customWidth="1"/>
    <col min="11793" max="11793" width="12.42578125" customWidth="1"/>
    <col min="11794" max="11794" width="13.5703125" customWidth="1"/>
    <col min="11795" max="11795" width="11.28515625" customWidth="1"/>
    <col min="11796" max="11796" width="11.28515625" bestFit="1" customWidth="1"/>
    <col min="12033" max="12033" width="16.85546875" customWidth="1"/>
    <col min="12034" max="12034" width="14.140625" customWidth="1"/>
    <col min="12035" max="12035" width="11.5703125" customWidth="1"/>
    <col min="12036" max="12036" width="9" customWidth="1"/>
    <col min="12037" max="12037" width="8.85546875" customWidth="1"/>
    <col min="12038" max="12038" width="11" customWidth="1"/>
    <col min="12039" max="12039" width="9.7109375" customWidth="1"/>
    <col min="12040" max="12040" width="9.42578125" customWidth="1"/>
    <col min="12041" max="12041" width="11.7109375" customWidth="1"/>
    <col min="12042" max="12043" width="11.85546875" customWidth="1"/>
    <col min="12044" max="12044" width="11.140625" customWidth="1"/>
    <col min="12045" max="12045" width="10.85546875" customWidth="1"/>
    <col min="12046" max="12046" width="9.140625" customWidth="1"/>
    <col min="12047" max="12047" width="9.7109375" customWidth="1"/>
    <col min="12048" max="12048" width="10.85546875" customWidth="1"/>
    <col min="12049" max="12049" width="12.42578125" customWidth="1"/>
    <col min="12050" max="12050" width="13.5703125" customWidth="1"/>
    <col min="12051" max="12051" width="11.28515625" customWidth="1"/>
    <col min="12052" max="12052" width="11.28515625" bestFit="1" customWidth="1"/>
    <col min="12289" max="12289" width="16.85546875" customWidth="1"/>
    <col min="12290" max="12290" width="14.140625" customWidth="1"/>
    <col min="12291" max="12291" width="11.5703125" customWidth="1"/>
    <col min="12292" max="12292" width="9" customWidth="1"/>
    <col min="12293" max="12293" width="8.85546875" customWidth="1"/>
    <col min="12294" max="12294" width="11" customWidth="1"/>
    <col min="12295" max="12295" width="9.7109375" customWidth="1"/>
    <col min="12296" max="12296" width="9.42578125" customWidth="1"/>
    <col min="12297" max="12297" width="11.7109375" customWidth="1"/>
    <col min="12298" max="12299" width="11.85546875" customWidth="1"/>
    <col min="12300" max="12300" width="11.140625" customWidth="1"/>
    <col min="12301" max="12301" width="10.85546875" customWidth="1"/>
    <col min="12302" max="12302" width="9.140625" customWidth="1"/>
    <col min="12303" max="12303" width="9.7109375" customWidth="1"/>
    <col min="12304" max="12304" width="10.85546875" customWidth="1"/>
    <col min="12305" max="12305" width="12.42578125" customWidth="1"/>
    <col min="12306" max="12306" width="13.5703125" customWidth="1"/>
    <col min="12307" max="12307" width="11.28515625" customWidth="1"/>
    <col min="12308" max="12308" width="11.28515625" bestFit="1" customWidth="1"/>
    <col min="12545" max="12545" width="16.85546875" customWidth="1"/>
    <col min="12546" max="12546" width="14.140625" customWidth="1"/>
    <col min="12547" max="12547" width="11.5703125" customWidth="1"/>
    <col min="12548" max="12548" width="9" customWidth="1"/>
    <col min="12549" max="12549" width="8.85546875" customWidth="1"/>
    <col min="12550" max="12550" width="11" customWidth="1"/>
    <col min="12551" max="12551" width="9.7109375" customWidth="1"/>
    <col min="12552" max="12552" width="9.42578125" customWidth="1"/>
    <col min="12553" max="12553" width="11.7109375" customWidth="1"/>
    <col min="12554" max="12555" width="11.85546875" customWidth="1"/>
    <col min="12556" max="12556" width="11.140625" customWidth="1"/>
    <col min="12557" max="12557" width="10.85546875" customWidth="1"/>
    <col min="12558" max="12558" width="9.140625" customWidth="1"/>
    <col min="12559" max="12559" width="9.7109375" customWidth="1"/>
    <col min="12560" max="12560" width="10.85546875" customWidth="1"/>
    <col min="12561" max="12561" width="12.42578125" customWidth="1"/>
    <col min="12562" max="12562" width="13.5703125" customWidth="1"/>
    <col min="12563" max="12563" width="11.28515625" customWidth="1"/>
    <col min="12564" max="12564" width="11.28515625" bestFit="1" customWidth="1"/>
    <col min="12801" max="12801" width="16.85546875" customWidth="1"/>
    <col min="12802" max="12802" width="14.140625" customWidth="1"/>
    <col min="12803" max="12803" width="11.5703125" customWidth="1"/>
    <col min="12804" max="12804" width="9" customWidth="1"/>
    <col min="12805" max="12805" width="8.85546875" customWidth="1"/>
    <col min="12806" max="12806" width="11" customWidth="1"/>
    <col min="12807" max="12807" width="9.7109375" customWidth="1"/>
    <col min="12808" max="12808" width="9.42578125" customWidth="1"/>
    <col min="12809" max="12809" width="11.7109375" customWidth="1"/>
    <col min="12810" max="12811" width="11.85546875" customWidth="1"/>
    <col min="12812" max="12812" width="11.140625" customWidth="1"/>
    <col min="12813" max="12813" width="10.85546875" customWidth="1"/>
    <col min="12814" max="12814" width="9.140625" customWidth="1"/>
    <col min="12815" max="12815" width="9.7109375" customWidth="1"/>
    <col min="12816" max="12816" width="10.85546875" customWidth="1"/>
    <col min="12817" max="12817" width="12.42578125" customWidth="1"/>
    <col min="12818" max="12818" width="13.5703125" customWidth="1"/>
    <col min="12819" max="12819" width="11.28515625" customWidth="1"/>
    <col min="12820" max="12820" width="11.28515625" bestFit="1" customWidth="1"/>
    <col min="13057" max="13057" width="16.85546875" customWidth="1"/>
    <col min="13058" max="13058" width="14.140625" customWidth="1"/>
    <col min="13059" max="13059" width="11.5703125" customWidth="1"/>
    <col min="13060" max="13060" width="9" customWidth="1"/>
    <col min="13061" max="13061" width="8.85546875" customWidth="1"/>
    <col min="13062" max="13062" width="11" customWidth="1"/>
    <col min="13063" max="13063" width="9.7109375" customWidth="1"/>
    <col min="13064" max="13064" width="9.42578125" customWidth="1"/>
    <col min="13065" max="13065" width="11.7109375" customWidth="1"/>
    <col min="13066" max="13067" width="11.85546875" customWidth="1"/>
    <col min="13068" max="13068" width="11.140625" customWidth="1"/>
    <col min="13069" max="13069" width="10.85546875" customWidth="1"/>
    <col min="13070" max="13070" width="9.140625" customWidth="1"/>
    <col min="13071" max="13071" width="9.7109375" customWidth="1"/>
    <col min="13072" max="13072" width="10.85546875" customWidth="1"/>
    <col min="13073" max="13073" width="12.42578125" customWidth="1"/>
    <col min="13074" max="13074" width="13.5703125" customWidth="1"/>
    <col min="13075" max="13075" width="11.28515625" customWidth="1"/>
    <col min="13076" max="13076" width="11.28515625" bestFit="1" customWidth="1"/>
    <col min="13313" max="13313" width="16.85546875" customWidth="1"/>
    <col min="13314" max="13314" width="14.140625" customWidth="1"/>
    <col min="13315" max="13315" width="11.5703125" customWidth="1"/>
    <col min="13316" max="13316" width="9" customWidth="1"/>
    <col min="13317" max="13317" width="8.85546875" customWidth="1"/>
    <col min="13318" max="13318" width="11" customWidth="1"/>
    <col min="13319" max="13319" width="9.7109375" customWidth="1"/>
    <col min="13320" max="13320" width="9.42578125" customWidth="1"/>
    <col min="13321" max="13321" width="11.7109375" customWidth="1"/>
    <col min="13322" max="13323" width="11.85546875" customWidth="1"/>
    <col min="13324" max="13324" width="11.140625" customWidth="1"/>
    <col min="13325" max="13325" width="10.85546875" customWidth="1"/>
    <col min="13326" max="13326" width="9.140625" customWidth="1"/>
    <col min="13327" max="13327" width="9.7109375" customWidth="1"/>
    <col min="13328" max="13328" width="10.85546875" customWidth="1"/>
    <col min="13329" max="13329" width="12.42578125" customWidth="1"/>
    <col min="13330" max="13330" width="13.5703125" customWidth="1"/>
    <col min="13331" max="13331" width="11.28515625" customWidth="1"/>
    <col min="13332" max="13332" width="11.28515625" bestFit="1" customWidth="1"/>
    <col min="13569" max="13569" width="16.85546875" customWidth="1"/>
    <col min="13570" max="13570" width="14.140625" customWidth="1"/>
    <col min="13571" max="13571" width="11.5703125" customWidth="1"/>
    <col min="13572" max="13572" width="9" customWidth="1"/>
    <col min="13573" max="13573" width="8.85546875" customWidth="1"/>
    <col min="13574" max="13574" width="11" customWidth="1"/>
    <col min="13575" max="13575" width="9.7109375" customWidth="1"/>
    <col min="13576" max="13576" width="9.42578125" customWidth="1"/>
    <col min="13577" max="13577" width="11.7109375" customWidth="1"/>
    <col min="13578" max="13579" width="11.85546875" customWidth="1"/>
    <col min="13580" max="13580" width="11.140625" customWidth="1"/>
    <col min="13581" max="13581" width="10.85546875" customWidth="1"/>
    <col min="13582" max="13582" width="9.140625" customWidth="1"/>
    <col min="13583" max="13583" width="9.7109375" customWidth="1"/>
    <col min="13584" max="13584" width="10.85546875" customWidth="1"/>
    <col min="13585" max="13585" width="12.42578125" customWidth="1"/>
    <col min="13586" max="13586" width="13.5703125" customWidth="1"/>
    <col min="13587" max="13587" width="11.28515625" customWidth="1"/>
    <col min="13588" max="13588" width="11.28515625" bestFit="1" customWidth="1"/>
    <col min="13825" max="13825" width="16.85546875" customWidth="1"/>
    <col min="13826" max="13826" width="14.140625" customWidth="1"/>
    <col min="13827" max="13827" width="11.5703125" customWidth="1"/>
    <col min="13828" max="13828" width="9" customWidth="1"/>
    <col min="13829" max="13829" width="8.85546875" customWidth="1"/>
    <col min="13830" max="13830" width="11" customWidth="1"/>
    <col min="13831" max="13831" width="9.7109375" customWidth="1"/>
    <col min="13832" max="13832" width="9.42578125" customWidth="1"/>
    <col min="13833" max="13833" width="11.7109375" customWidth="1"/>
    <col min="13834" max="13835" width="11.85546875" customWidth="1"/>
    <col min="13836" max="13836" width="11.140625" customWidth="1"/>
    <col min="13837" max="13837" width="10.85546875" customWidth="1"/>
    <col min="13838" max="13838" width="9.140625" customWidth="1"/>
    <col min="13839" max="13839" width="9.7109375" customWidth="1"/>
    <col min="13840" max="13840" width="10.85546875" customWidth="1"/>
    <col min="13841" max="13841" width="12.42578125" customWidth="1"/>
    <col min="13842" max="13842" width="13.5703125" customWidth="1"/>
    <col min="13843" max="13843" width="11.28515625" customWidth="1"/>
    <col min="13844" max="13844" width="11.28515625" bestFit="1" customWidth="1"/>
    <col min="14081" max="14081" width="16.85546875" customWidth="1"/>
    <col min="14082" max="14082" width="14.140625" customWidth="1"/>
    <col min="14083" max="14083" width="11.5703125" customWidth="1"/>
    <col min="14084" max="14084" width="9" customWidth="1"/>
    <col min="14085" max="14085" width="8.85546875" customWidth="1"/>
    <col min="14086" max="14086" width="11" customWidth="1"/>
    <col min="14087" max="14087" width="9.7109375" customWidth="1"/>
    <col min="14088" max="14088" width="9.42578125" customWidth="1"/>
    <col min="14089" max="14089" width="11.7109375" customWidth="1"/>
    <col min="14090" max="14091" width="11.85546875" customWidth="1"/>
    <col min="14092" max="14092" width="11.140625" customWidth="1"/>
    <col min="14093" max="14093" width="10.85546875" customWidth="1"/>
    <col min="14094" max="14094" width="9.140625" customWidth="1"/>
    <col min="14095" max="14095" width="9.7109375" customWidth="1"/>
    <col min="14096" max="14096" width="10.85546875" customWidth="1"/>
    <col min="14097" max="14097" width="12.42578125" customWidth="1"/>
    <col min="14098" max="14098" width="13.5703125" customWidth="1"/>
    <col min="14099" max="14099" width="11.28515625" customWidth="1"/>
    <col min="14100" max="14100" width="11.28515625" bestFit="1" customWidth="1"/>
    <col min="14337" max="14337" width="16.85546875" customWidth="1"/>
    <col min="14338" max="14338" width="14.140625" customWidth="1"/>
    <col min="14339" max="14339" width="11.5703125" customWidth="1"/>
    <col min="14340" max="14340" width="9" customWidth="1"/>
    <col min="14341" max="14341" width="8.85546875" customWidth="1"/>
    <col min="14342" max="14342" width="11" customWidth="1"/>
    <col min="14343" max="14343" width="9.7109375" customWidth="1"/>
    <col min="14344" max="14344" width="9.42578125" customWidth="1"/>
    <col min="14345" max="14345" width="11.7109375" customWidth="1"/>
    <col min="14346" max="14347" width="11.85546875" customWidth="1"/>
    <col min="14348" max="14348" width="11.140625" customWidth="1"/>
    <col min="14349" max="14349" width="10.85546875" customWidth="1"/>
    <col min="14350" max="14350" width="9.140625" customWidth="1"/>
    <col min="14351" max="14351" width="9.7109375" customWidth="1"/>
    <col min="14352" max="14352" width="10.85546875" customWidth="1"/>
    <col min="14353" max="14353" width="12.42578125" customWidth="1"/>
    <col min="14354" max="14354" width="13.5703125" customWidth="1"/>
    <col min="14355" max="14355" width="11.28515625" customWidth="1"/>
    <col min="14356" max="14356" width="11.28515625" bestFit="1" customWidth="1"/>
    <col min="14593" max="14593" width="16.85546875" customWidth="1"/>
    <col min="14594" max="14594" width="14.140625" customWidth="1"/>
    <col min="14595" max="14595" width="11.5703125" customWidth="1"/>
    <col min="14596" max="14596" width="9" customWidth="1"/>
    <col min="14597" max="14597" width="8.85546875" customWidth="1"/>
    <col min="14598" max="14598" width="11" customWidth="1"/>
    <col min="14599" max="14599" width="9.7109375" customWidth="1"/>
    <col min="14600" max="14600" width="9.42578125" customWidth="1"/>
    <col min="14601" max="14601" width="11.7109375" customWidth="1"/>
    <col min="14602" max="14603" width="11.85546875" customWidth="1"/>
    <col min="14604" max="14604" width="11.140625" customWidth="1"/>
    <col min="14605" max="14605" width="10.85546875" customWidth="1"/>
    <col min="14606" max="14606" width="9.140625" customWidth="1"/>
    <col min="14607" max="14607" width="9.7109375" customWidth="1"/>
    <col min="14608" max="14608" width="10.85546875" customWidth="1"/>
    <col min="14609" max="14609" width="12.42578125" customWidth="1"/>
    <col min="14610" max="14610" width="13.5703125" customWidth="1"/>
    <col min="14611" max="14611" width="11.28515625" customWidth="1"/>
    <col min="14612" max="14612" width="11.28515625" bestFit="1" customWidth="1"/>
    <col min="14849" max="14849" width="16.85546875" customWidth="1"/>
    <col min="14850" max="14850" width="14.140625" customWidth="1"/>
    <col min="14851" max="14851" width="11.5703125" customWidth="1"/>
    <col min="14852" max="14852" width="9" customWidth="1"/>
    <col min="14853" max="14853" width="8.85546875" customWidth="1"/>
    <col min="14854" max="14854" width="11" customWidth="1"/>
    <col min="14855" max="14855" width="9.7109375" customWidth="1"/>
    <col min="14856" max="14856" width="9.42578125" customWidth="1"/>
    <col min="14857" max="14857" width="11.7109375" customWidth="1"/>
    <col min="14858" max="14859" width="11.85546875" customWidth="1"/>
    <col min="14860" max="14860" width="11.140625" customWidth="1"/>
    <col min="14861" max="14861" width="10.85546875" customWidth="1"/>
    <col min="14862" max="14862" width="9.140625" customWidth="1"/>
    <col min="14863" max="14863" width="9.7109375" customWidth="1"/>
    <col min="14864" max="14864" width="10.85546875" customWidth="1"/>
    <col min="14865" max="14865" width="12.42578125" customWidth="1"/>
    <col min="14866" max="14866" width="13.5703125" customWidth="1"/>
    <col min="14867" max="14867" width="11.28515625" customWidth="1"/>
    <col min="14868" max="14868" width="11.28515625" bestFit="1" customWidth="1"/>
    <col min="15105" max="15105" width="16.85546875" customWidth="1"/>
    <col min="15106" max="15106" width="14.140625" customWidth="1"/>
    <col min="15107" max="15107" width="11.5703125" customWidth="1"/>
    <col min="15108" max="15108" width="9" customWidth="1"/>
    <col min="15109" max="15109" width="8.85546875" customWidth="1"/>
    <col min="15110" max="15110" width="11" customWidth="1"/>
    <col min="15111" max="15111" width="9.7109375" customWidth="1"/>
    <col min="15112" max="15112" width="9.42578125" customWidth="1"/>
    <col min="15113" max="15113" width="11.7109375" customWidth="1"/>
    <col min="15114" max="15115" width="11.85546875" customWidth="1"/>
    <col min="15116" max="15116" width="11.140625" customWidth="1"/>
    <col min="15117" max="15117" width="10.85546875" customWidth="1"/>
    <col min="15118" max="15118" width="9.140625" customWidth="1"/>
    <col min="15119" max="15119" width="9.7109375" customWidth="1"/>
    <col min="15120" max="15120" width="10.85546875" customWidth="1"/>
    <col min="15121" max="15121" width="12.42578125" customWidth="1"/>
    <col min="15122" max="15122" width="13.5703125" customWidth="1"/>
    <col min="15123" max="15123" width="11.28515625" customWidth="1"/>
    <col min="15124" max="15124" width="11.28515625" bestFit="1" customWidth="1"/>
    <col min="15361" max="15361" width="16.85546875" customWidth="1"/>
    <col min="15362" max="15362" width="14.140625" customWidth="1"/>
    <col min="15363" max="15363" width="11.5703125" customWidth="1"/>
    <col min="15364" max="15364" width="9" customWidth="1"/>
    <col min="15365" max="15365" width="8.85546875" customWidth="1"/>
    <col min="15366" max="15366" width="11" customWidth="1"/>
    <col min="15367" max="15367" width="9.7109375" customWidth="1"/>
    <col min="15368" max="15368" width="9.42578125" customWidth="1"/>
    <col min="15369" max="15369" width="11.7109375" customWidth="1"/>
    <col min="15370" max="15371" width="11.85546875" customWidth="1"/>
    <col min="15372" max="15372" width="11.140625" customWidth="1"/>
    <col min="15373" max="15373" width="10.85546875" customWidth="1"/>
    <col min="15374" max="15374" width="9.140625" customWidth="1"/>
    <col min="15375" max="15375" width="9.7109375" customWidth="1"/>
    <col min="15376" max="15376" width="10.85546875" customWidth="1"/>
    <col min="15377" max="15377" width="12.42578125" customWidth="1"/>
    <col min="15378" max="15378" width="13.5703125" customWidth="1"/>
    <col min="15379" max="15379" width="11.28515625" customWidth="1"/>
    <col min="15380" max="15380" width="11.28515625" bestFit="1" customWidth="1"/>
    <col min="15617" max="15617" width="16.85546875" customWidth="1"/>
    <col min="15618" max="15618" width="14.140625" customWidth="1"/>
    <col min="15619" max="15619" width="11.5703125" customWidth="1"/>
    <col min="15620" max="15620" width="9" customWidth="1"/>
    <col min="15621" max="15621" width="8.85546875" customWidth="1"/>
    <col min="15622" max="15622" width="11" customWidth="1"/>
    <col min="15623" max="15623" width="9.7109375" customWidth="1"/>
    <col min="15624" max="15624" width="9.42578125" customWidth="1"/>
    <col min="15625" max="15625" width="11.7109375" customWidth="1"/>
    <col min="15626" max="15627" width="11.85546875" customWidth="1"/>
    <col min="15628" max="15628" width="11.140625" customWidth="1"/>
    <col min="15629" max="15629" width="10.85546875" customWidth="1"/>
    <col min="15630" max="15630" width="9.140625" customWidth="1"/>
    <col min="15631" max="15631" width="9.7109375" customWidth="1"/>
    <col min="15632" max="15632" width="10.85546875" customWidth="1"/>
    <col min="15633" max="15633" width="12.42578125" customWidth="1"/>
    <col min="15634" max="15634" width="13.5703125" customWidth="1"/>
    <col min="15635" max="15635" width="11.28515625" customWidth="1"/>
    <col min="15636" max="15636" width="11.28515625" bestFit="1" customWidth="1"/>
    <col min="15873" max="15873" width="16.85546875" customWidth="1"/>
    <col min="15874" max="15874" width="14.140625" customWidth="1"/>
    <col min="15875" max="15875" width="11.5703125" customWidth="1"/>
    <col min="15876" max="15876" width="9" customWidth="1"/>
    <col min="15877" max="15877" width="8.85546875" customWidth="1"/>
    <col min="15878" max="15878" width="11" customWidth="1"/>
    <col min="15879" max="15879" width="9.7109375" customWidth="1"/>
    <col min="15880" max="15880" width="9.42578125" customWidth="1"/>
    <col min="15881" max="15881" width="11.7109375" customWidth="1"/>
    <col min="15882" max="15883" width="11.85546875" customWidth="1"/>
    <col min="15884" max="15884" width="11.140625" customWidth="1"/>
    <col min="15885" max="15885" width="10.85546875" customWidth="1"/>
    <col min="15886" max="15886" width="9.140625" customWidth="1"/>
    <col min="15887" max="15887" width="9.7109375" customWidth="1"/>
    <col min="15888" max="15888" width="10.85546875" customWidth="1"/>
    <col min="15889" max="15889" width="12.42578125" customWidth="1"/>
    <col min="15890" max="15890" width="13.5703125" customWidth="1"/>
    <col min="15891" max="15891" width="11.28515625" customWidth="1"/>
    <col min="15892" max="15892" width="11.28515625" bestFit="1" customWidth="1"/>
    <col min="16129" max="16129" width="16.85546875" customWidth="1"/>
    <col min="16130" max="16130" width="14.140625" customWidth="1"/>
    <col min="16131" max="16131" width="11.5703125" customWidth="1"/>
    <col min="16132" max="16132" width="9" customWidth="1"/>
    <col min="16133" max="16133" width="8.85546875" customWidth="1"/>
    <col min="16134" max="16134" width="11" customWidth="1"/>
    <col min="16135" max="16135" width="9.7109375" customWidth="1"/>
    <col min="16136" max="16136" width="9.42578125" customWidth="1"/>
    <col min="16137" max="16137" width="11.7109375" customWidth="1"/>
    <col min="16138" max="16139" width="11.85546875" customWidth="1"/>
    <col min="16140" max="16140" width="11.140625" customWidth="1"/>
    <col min="16141" max="16141" width="10.85546875" customWidth="1"/>
    <col min="16142" max="16142" width="9.140625" customWidth="1"/>
    <col min="16143" max="16143" width="9.7109375" customWidth="1"/>
    <col min="16144" max="16144" width="10.85546875" customWidth="1"/>
    <col min="16145" max="16145" width="12.42578125" customWidth="1"/>
    <col min="16146" max="16146" width="13.5703125" customWidth="1"/>
    <col min="16147" max="16147" width="11.28515625" customWidth="1"/>
    <col min="16148" max="16148" width="11.28515625" bestFit="1" customWidth="1"/>
  </cols>
  <sheetData>
    <row r="1" spans="1:19" x14ac:dyDescent="0.2">
      <c r="A1" t="s">
        <v>55</v>
      </c>
      <c r="M1" s="87"/>
    </row>
    <row r="2" spans="1:19" x14ac:dyDescent="0.2">
      <c r="A2" s="22" t="s">
        <v>190</v>
      </c>
    </row>
    <row r="3" spans="1:19" x14ac:dyDescent="0.2">
      <c r="A3" t="s">
        <v>191</v>
      </c>
      <c r="L3" s="88" t="s">
        <v>192</v>
      </c>
    </row>
    <row r="5" spans="1:19" ht="63.75" x14ac:dyDescent="0.2">
      <c r="A5" s="89" t="s">
        <v>29</v>
      </c>
      <c r="B5" s="89" t="s">
        <v>193</v>
      </c>
      <c r="C5" s="89" t="s">
        <v>194</v>
      </c>
      <c r="D5" s="90" t="s">
        <v>349</v>
      </c>
      <c r="E5" s="90" t="s">
        <v>196</v>
      </c>
      <c r="F5" s="90" t="s">
        <v>197</v>
      </c>
      <c r="G5" s="90" t="s">
        <v>198</v>
      </c>
      <c r="H5" s="90" t="s">
        <v>199</v>
      </c>
      <c r="I5" s="90" t="s">
        <v>200</v>
      </c>
      <c r="J5" s="90" t="s">
        <v>201</v>
      </c>
      <c r="K5" s="90" t="s">
        <v>202</v>
      </c>
      <c r="L5" s="90" t="s">
        <v>203</v>
      </c>
      <c r="M5" s="90" t="s">
        <v>204</v>
      </c>
      <c r="N5" s="90" t="s">
        <v>205</v>
      </c>
      <c r="O5" s="90" t="s">
        <v>206</v>
      </c>
      <c r="P5" s="90" t="s">
        <v>207</v>
      </c>
      <c r="Q5" s="90" t="s">
        <v>208</v>
      </c>
      <c r="R5" s="90" t="s">
        <v>209</v>
      </c>
      <c r="S5" s="90" t="s">
        <v>210</v>
      </c>
    </row>
    <row r="7" spans="1:19" x14ac:dyDescent="0.2">
      <c r="A7" t="s">
        <v>211</v>
      </c>
      <c r="B7" t="s">
        <v>212</v>
      </c>
      <c r="C7" t="s">
        <v>27</v>
      </c>
      <c r="D7" s="86" t="s">
        <v>213</v>
      </c>
      <c r="H7" s="86">
        <f>' Exhibit B, Salary and Schedule'!J14/24</f>
        <v>3312.09375</v>
      </c>
      <c r="I7" s="86">
        <f>+H7*24</f>
        <v>79490.25</v>
      </c>
      <c r="J7" s="86">
        <f>+J33</f>
        <v>3831.4176245210729</v>
      </c>
      <c r="K7" s="86">
        <f t="shared" ref="K7:K14" si="0">+I7+J7</f>
        <v>83321.667624521069</v>
      </c>
      <c r="L7" s="86">
        <f t="shared" ref="L7:L14" si="1">+K7*0.062</f>
        <v>5165.9433927203063</v>
      </c>
      <c r="M7" s="86">
        <f t="shared" ref="M7:M14" si="2">+K7*0.0145</f>
        <v>1208.1641805555555</v>
      </c>
      <c r="N7" s="86">
        <f t="shared" ref="N7:N13" si="3">7000*0.015</f>
        <v>105</v>
      </c>
      <c r="O7" s="86">
        <f t="shared" ref="O7:O13" si="4">7000*0.039</f>
        <v>273</v>
      </c>
      <c r="P7" s="86">
        <f t="shared" ref="P7:P14" si="5">SUM(L7:O7)</f>
        <v>6752.1075732758618</v>
      </c>
      <c r="Q7" s="86">
        <f>+'[1]Health Insurance'!K7</f>
        <v>9935.3100000000013</v>
      </c>
      <c r="R7" s="73">
        <f t="shared" ref="R7:R14" si="6">+K7+P7+Q7</f>
        <v>100009.08519779693</v>
      </c>
    </row>
    <row r="8" spans="1:19" x14ac:dyDescent="0.2">
      <c r="A8" t="s">
        <v>214</v>
      </c>
      <c r="B8" t="s">
        <v>215</v>
      </c>
      <c r="C8" s="40" t="s">
        <v>27</v>
      </c>
      <c r="D8" s="88" t="s">
        <v>213</v>
      </c>
      <c r="F8" s="86">
        <v>0</v>
      </c>
      <c r="H8" s="86">
        <f>' Exhibit B, Salary and Schedule'!J15/24</f>
        <v>1928.8552500000003</v>
      </c>
      <c r="I8" s="86">
        <f>+H8*24</f>
        <v>46292.526000000005</v>
      </c>
      <c r="J8" s="86">
        <f>+J43</f>
        <v>3284.0722495894911</v>
      </c>
      <c r="K8" s="86">
        <f>+I8+J8</f>
        <v>49576.598249589493</v>
      </c>
      <c r="L8" s="86">
        <f>+K8*0.062</f>
        <v>3073.7490914745485</v>
      </c>
      <c r="M8" s="86">
        <f>+K8*0.0145</f>
        <v>718.8606746190477</v>
      </c>
      <c r="N8" s="86">
        <f t="shared" si="3"/>
        <v>105</v>
      </c>
      <c r="O8" s="86">
        <f t="shared" si="4"/>
        <v>273</v>
      </c>
      <c r="P8" s="86">
        <f>SUM(L8:O8)</f>
        <v>4170.6097660935957</v>
      </c>
      <c r="Q8" s="86">
        <f>+'[1]Health Insurance'!K8</f>
        <v>9935.3100000000013</v>
      </c>
      <c r="R8" s="73">
        <f t="shared" si="6"/>
        <v>63682.51801568309</v>
      </c>
    </row>
    <row r="9" spans="1:19" x14ac:dyDescent="0.2">
      <c r="A9" t="s">
        <v>216</v>
      </c>
      <c r="B9" t="s">
        <v>217</v>
      </c>
      <c r="C9" s="58" t="s">
        <v>27</v>
      </c>
      <c r="D9" s="108">
        <f>' Exhibit B, Salary and Schedule'!G17</f>
        <v>14.605399999999999</v>
      </c>
      <c r="E9" s="108">
        <f>' Exhibit B, Salary and Schedule'!G17</f>
        <v>14.605399999999999</v>
      </c>
      <c r="F9" s="86">
        <v>2088</v>
      </c>
      <c r="G9" s="86">
        <v>0</v>
      </c>
      <c r="I9" s="86">
        <f t="shared" ref="I9:I14" si="7">(F9*D9)+(G9*E9)</f>
        <v>30496.075199999999</v>
      </c>
      <c r="J9" s="86">
        <v>0</v>
      </c>
      <c r="K9" s="86">
        <f t="shared" si="0"/>
        <v>30496.075199999999</v>
      </c>
      <c r="L9" s="86">
        <f>+K9*0.062</f>
        <v>1890.7566623999999</v>
      </c>
      <c r="M9" s="86">
        <f>+K9*0.0145</f>
        <v>442.19309040000002</v>
      </c>
      <c r="N9" s="86">
        <f t="shared" si="3"/>
        <v>105</v>
      </c>
      <c r="O9" s="86">
        <f t="shared" si="4"/>
        <v>273</v>
      </c>
      <c r="P9" s="86">
        <f>SUM(L9:O9)</f>
        <v>2710.9497527999997</v>
      </c>
      <c r="Q9" s="86">
        <f>+'[1]Health Insurance'!K9</f>
        <v>9935.3100000000013</v>
      </c>
      <c r="R9" s="73">
        <f t="shared" si="6"/>
        <v>43142.334952799996</v>
      </c>
    </row>
    <row r="10" spans="1:19" x14ac:dyDescent="0.2">
      <c r="A10" t="s">
        <v>218</v>
      </c>
      <c r="B10" t="s">
        <v>217</v>
      </c>
      <c r="C10" s="58">
        <v>42248</v>
      </c>
      <c r="D10" s="108">
        <f>' Exhibit B, Salary and Schedule'!G17</f>
        <v>14.605399999999999</v>
      </c>
      <c r="E10" s="108">
        <f>' Exhibit B, Salary and Schedule'!G17</f>
        <v>14.605399999999999</v>
      </c>
      <c r="F10" s="86">
        <f>2088*'Step Schedule'!F245</f>
        <v>1390.0931506849315</v>
      </c>
      <c r="G10" s="86">
        <f>2088*'Step Schedule'!E245</f>
        <v>692.18630136986303</v>
      </c>
      <c r="I10" s="86">
        <f t="shared" si="7"/>
        <v>30412.524309041095</v>
      </c>
      <c r="K10" s="86">
        <f>+I10+J10</f>
        <v>30412.524309041095</v>
      </c>
      <c r="L10" s="86">
        <f>+K10*0.062</f>
        <v>1885.5765071605479</v>
      </c>
      <c r="M10" s="86">
        <f>+K10*0.0145</f>
        <v>440.98160248109588</v>
      </c>
      <c r="N10" s="86">
        <f t="shared" si="3"/>
        <v>105</v>
      </c>
      <c r="O10" s="86">
        <f t="shared" si="4"/>
        <v>273</v>
      </c>
      <c r="P10" s="86">
        <f>SUM(L10:O10)</f>
        <v>2704.5581096416436</v>
      </c>
      <c r="Q10" s="86">
        <f>+'[1]Health Insurance'!K10</f>
        <v>9935.3100000000013</v>
      </c>
      <c r="R10" s="73">
        <f>+K10+P10+Q10</f>
        <v>43052.392418682735</v>
      </c>
    </row>
    <row r="11" spans="1:19" x14ac:dyDescent="0.2">
      <c r="A11" t="s">
        <v>219</v>
      </c>
      <c r="B11" t="s">
        <v>217</v>
      </c>
      <c r="C11" s="40">
        <v>42095</v>
      </c>
      <c r="D11" s="108">
        <f>' Exhibit B, Salary and Schedule'!G17</f>
        <v>14.605399999999999</v>
      </c>
      <c r="E11" s="108">
        <f>' Exhibit B, Salary and Schedule'!G17</f>
        <v>14.605399999999999</v>
      </c>
      <c r="F11" s="86">
        <f>2088*'Step Schedule'!F92</f>
        <v>514.84931506849307</v>
      </c>
      <c r="G11" s="86">
        <f>2088*'Step Schedule'!E92</f>
        <v>1567.4301369863015</v>
      </c>
      <c r="I11" s="86">
        <f t="shared" si="7"/>
        <v>30412.524309041095</v>
      </c>
      <c r="J11" s="86">
        <v>0</v>
      </c>
      <c r="K11" s="86">
        <f t="shared" si="0"/>
        <v>30412.524309041095</v>
      </c>
      <c r="L11" s="86">
        <f t="shared" si="1"/>
        <v>1885.5765071605479</v>
      </c>
      <c r="M11" s="86">
        <f t="shared" si="2"/>
        <v>440.98160248109588</v>
      </c>
      <c r="N11" s="86">
        <f t="shared" si="3"/>
        <v>105</v>
      </c>
      <c r="O11" s="86">
        <f t="shared" si="4"/>
        <v>273</v>
      </c>
      <c r="P11" s="86">
        <f t="shared" si="5"/>
        <v>2704.5581096416436</v>
      </c>
      <c r="Q11" s="86">
        <f>+'[1]Health Insurance'!K11</f>
        <v>9935.3100000000013</v>
      </c>
      <c r="R11" s="73">
        <f t="shared" si="6"/>
        <v>43052.392418682735</v>
      </c>
    </row>
    <row r="12" spans="1:19" x14ac:dyDescent="0.2">
      <c r="A12" t="s">
        <v>348</v>
      </c>
      <c r="B12" t="s">
        <v>217</v>
      </c>
      <c r="C12" s="40" t="s">
        <v>27</v>
      </c>
      <c r="D12" s="108">
        <f>' Exhibit B, Salary and Schedule'!G17</f>
        <v>14.605399999999999</v>
      </c>
      <c r="E12" s="108">
        <f>' Exhibit B, Salary and Schedule'!G17</f>
        <v>14.605399999999999</v>
      </c>
      <c r="F12" s="86">
        <v>1900</v>
      </c>
      <c r="G12" s="86">
        <v>0</v>
      </c>
      <c r="I12" s="86">
        <f t="shared" si="7"/>
        <v>27750.26</v>
      </c>
      <c r="J12" s="86">
        <v>0</v>
      </c>
      <c r="K12" s="86">
        <f t="shared" si="0"/>
        <v>27750.26</v>
      </c>
      <c r="L12" s="86">
        <f t="shared" si="1"/>
        <v>1720.51612</v>
      </c>
      <c r="M12" s="86">
        <f>+K12*0.0145</f>
        <v>402.37876999999997</v>
      </c>
      <c r="N12" s="86">
        <f t="shared" si="3"/>
        <v>105</v>
      </c>
      <c r="O12" s="86">
        <f t="shared" si="4"/>
        <v>273</v>
      </c>
      <c r="P12" s="86">
        <f>SUM(L12:O12)</f>
        <v>2500.89489</v>
      </c>
      <c r="Q12" s="86">
        <f>+'[1]Health Insurance'!K12</f>
        <v>9935.3100000000013</v>
      </c>
      <c r="R12" s="73">
        <f t="shared" si="6"/>
        <v>40186.464890000003</v>
      </c>
    </row>
    <row r="13" spans="1:19" x14ac:dyDescent="0.2">
      <c r="A13" t="s">
        <v>221</v>
      </c>
      <c r="B13" t="s">
        <v>222</v>
      </c>
      <c r="C13" s="40">
        <v>42278</v>
      </c>
      <c r="D13" s="108">
        <f>' Exhibit B, Salary and Schedule'!G19</f>
        <v>23.175000000000001</v>
      </c>
      <c r="E13" s="108">
        <f>' Exhibit B, Salary and Schedule'!G19</f>
        <v>23.175000000000001</v>
      </c>
      <c r="F13" s="86">
        <f>25*12</f>
        <v>300</v>
      </c>
      <c r="G13" s="86">
        <v>0</v>
      </c>
      <c r="I13" s="86">
        <f t="shared" si="7"/>
        <v>6952.5</v>
      </c>
      <c r="K13" s="86">
        <f t="shared" si="0"/>
        <v>6952.5</v>
      </c>
      <c r="L13" s="86">
        <f t="shared" si="1"/>
        <v>431.05500000000001</v>
      </c>
      <c r="M13" s="86">
        <f>+K13*0.0145</f>
        <v>100.81125</v>
      </c>
      <c r="N13" s="86">
        <f t="shared" si="3"/>
        <v>105</v>
      </c>
      <c r="O13" s="86">
        <f t="shared" si="4"/>
        <v>273</v>
      </c>
      <c r="P13" s="86">
        <f>SUM(L13:O13)</f>
        <v>909.86625000000004</v>
      </c>
      <c r="Q13" s="86">
        <f>+'[1]Health Insurance'!K13</f>
        <v>0</v>
      </c>
      <c r="R13" s="73">
        <f t="shared" si="6"/>
        <v>7862.36625</v>
      </c>
    </row>
    <row r="14" spans="1:19" x14ac:dyDescent="0.2">
      <c r="A14" t="s">
        <v>223</v>
      </c>
      <c r="B14" t="s">
        <v>224</v>
      </c>
      <c r="C14" s="40">
        <v>42278</v>
      </c>
      <c r="D14" s="108">
        <f>' Exhibit B, Salary and Schedule'!G20</f>
        <v>12.36</v>
      </c>
      <c r="E14" s="108">
        <f>' Exhibit B, Salary and Schedule'!G20</f>
        <v>12.36</v>
      </c>
      <c r="F14" s="86">
        <f>38*12</f>
        <v>456</v>
      </c>
      <c r="G14" s="86">
        <v>0</v>
      </c>
      <c r="I14" s="86">
        <f t="shared" si="7"/>
        <v>5636.16</v>
      </c>
      <c r="J14" s="86">
        <v>0</v>
      </c>
      <c r="K14" s="86">
        <f t="shared" si="0"/>
        <v>5636.16</v>
      </c>
      <c r="L14" s="86">
        <f t="shared" si="1"/>
        <v>349.44191999999998</v>
      </c>
      <c r="M14" s="86">
        <f t="shared" si="2"/>
        <v>81.724320000000006</v>
      </c>
      <c r="N14" s="86">
        <f>+K14*0.015</f>
        <v>84.542400000000001</v>
      </c>
      <c r="O14" s="86">
        <f>+K14*0.039</f>
        <v>219.81023999999999</v>
      </c>
      <c r="P14" s="86">
        <f t="shared" si="5"/>
        <v>735.51888000000008</v>
      </c>
      <c r="Q14" s="86">
        <f>+'[1]Health Insurance'!K13</f>
        <v>0</v>
      </c>
      <c r="R14" s="73">
        <f t="shared" si="6"/>
        <v>6371.6788799999995</v>
      </c>
    </row>
    <row r="15" spans="1:19" x14ac:dyDescent="0.2">
      <c r="A15" t="s">
        <v>225</v>
      </c>
      <c r="L15" s="86">
        <f>(1200*5)*0.062</f>
        <v>372</v>
      </c>
      <c r="M15" s="86">
        <f>(1200*5)*0.0145</f>
        <v>87</v>
      </c>
      <c r="N15" s="86">
        <f>(1200*5)*0.015</f>
        <v>90</v>
      </c>
      <c r="O15" s="86">
        <f>(1200*5)*0.039</f>
        <v>234</v>
      </c>
      <c r="P15" s="86">
        <f>SUM(L15:O15)</f>
        <v>783</v>
      </c>
      <c r="R15" s="73"/>
    </row>
    <row r="17" spans="1:20" x14ac:dyDescent="0.2">
      <c r="I17" s="86">
        <f>SUM(I7:I16)</f>
        <v>257442.81981808221</v>
      </c>
      <c r="J17" s="86">
        <f>SUM(J7:J16)</f>
        <v>7115.4898741105644</v>
      </c>
      <c r="K17" s="86">
        <f>SUM(K7:K16)</f>
        <v>264558.30969219276</v>
      </c>
      <c r="L17" s="86">
        <f t="shared" ref="L17:R17" si="8">SUM(L7:L16)</f>
        <v>16774.615200915949</v>
      </c>
      <c r="M17" s="86">
        <f t="shared" si="8"/>
        <v>3923.0954905367944</v>
      </c>
      <c r="N17" s="86">
        <f t="shared" si="8"/>
        <v>909.54240000000004</v>
      </c>
      <c r="O17" s="86">
        <f t="shared" si="8"/>
        <v>2364.8102399999998</v>
      </c>
      <c r="P17" s="86">
        <f t="shared" si="8"/>
        <v>23972.06333145274</v>
      </c>
      <c r="Q17" s="86">
        <f t="shared" si="8"/>
        <v>59611.86</v>
      </c>
      <c r="R17" s="86">
        <f t="shared" si="8"/>
        <v>347359.23302364559</v>
      </c>
      <c r="S17" s="86">
        <f>+'[1]Workers'' Compensation'!F35</f>
        <v>15000</v>
      </c>
      <c r="T17" s="73">
        <f>+R17+S17</f>
        <v>362359.23302364559</v>
      </c>
    </row>
    <row r="18" spans="1:20" x14ac:dyDescent="0.2">
      <c r="R18" s="73"/>
      <c r="S18" s="91"/>
    </row>
    <row r="19" spans="1:20" x14ac:dyDescent="0.2">
      <c r="K19" s="86">
        <f>SUM(K9:K12)</f>
        <v>119071.38381808218</v>
      </c>
      <c r="R19" s="73"/>
      <c r="S19" s="91"/>
    </row>
    <row r="20" spans="1:20" x14ac:dyDescent="0.2">
      <c r="A20" t="s">
        <v>226</v>
      </c>
      <c r="R20" s="73"/>
      <c r="S20" s="91"/>
    </row>
    <row r="21" spans="1:20" x14ac:dyDescent="0.2">
      <c r="A21" t="s">
        <v>227</v>
      </c>
      <c r="P21" s="86" t="s">
        <v>362</v>
      </c>
      <c r="R21" s="73"/>
      <c r="S21" s="150">
        <f>'Previous Year Payroll'!K19+'Previous Year Payroll'!P17</f>
        <v>127997.48966576946</v>
      </c>
    </row>
    <row r="22" spans="1:20" x14ac:dyDescent="0.2">
      <c r="A22" t="s">
        <v>228</v>
      </c>
      <c r="P22" s="86" t="s">
        <v>361</v>
      </c>
      <c r="R22" s="73"/>
      <c r="S22" s="150">
        <f>+SUM(K9:K12)+P17</f>
        <v>143043.44714953491</v>
      </c>
    </row>
    <row r="23" spans="1:20" x14ac:dyDescent="0.2">
      <c r="A23" t="s">
        <v>229</v>
      </c>
      <c r="P23" s="169" t="s">
        <v>363</v>
      </c>
      <c r="Q23" s="169"/>
      <c r="R23" s="169"/>
      <c r="S23" s="150">
        <f>S22-S21</f>
        <v>15045.957483765451</v>
      </c>
    </row>
    <row r="24" spans="1:20" x14ac:dyDescent="0.2">
      <c r="A24" t="s">
        <v>230</v>
      </c>
    </row>
    <row r="25" spans="1:20" x14ac:dyDescent="0.2">
      <c r="A25" t="s">
        <v>231</v>
      </c>
    </row>
    <row r="26" spans="1:20" x14ac:dyDescent="0.2">
      <c r="A26" t="s">
        <v>232</v>
      </c>
    </row>
    <row r="27" spans="1:20" x14ac:dyDescent="0.2">
      <c r="A27" t="s">
        <v>233</v>
      </c>
    </row>
    <row r="29" spans="1:20" x14ac:dyDescent="0.2">
      <c r="I29" s="88"/>
    </row>
    <row r="30" spans="1:20" x14ac:dyDescent="0.2">
      <c r="A30" s="22" t="s">
        <v>234</v>
      </c>
      <c r="I30" s="88" t="s">
        <v>235</v>
      </c>
    </row>
    <row r="31" spans="1:20" x14ac:dyDescent="0.2">
      <c r="D31" s="92" t="s">
        <v>122</v>
      </c>
      <c r="E31" s="92"/>
      <c r="F31" s="92" t="s">
        <v>236</v>
      </c>
      <c r="G31" s="92"/>
      <c r="H31" s="92"/>
      <c r="I31" s="88" t="s">
        <v>237</v>
      </c>
      <c r="J31" s="86">
        <v>3500</v>
      </c>
    </row>
    <row r="32" spans="1:20" x14ac:dyDescent="0.2">
      <c r="A32" t="s">
        <v>238</v>
      </c>
      <c r="D32" s="93">
        <v>6.2E-2</v>
      </c>
      <c r="E32" s="93"/>
      <c r="F32" s="86">
        <v>113700</v>
      </c>
    </row>
    <row r="33" spans="1:10" x14ac:dyDescent="0.2">
      <c r="A33" t="s">
        <v>204</v>
      </c>
      <c r="D33" s="93">
        <v>1.4500000000000001E-2</v>
      </c>
      <c r="E33" s="93"/>
      <c r="F33" s="94" t="s">
        <v>239</v>
      </c>
      <c r="G33" s="94"/>
      <c r="H33" s="94"/>
      <c r="I33" s="86" t="s">
        <v>240</v>
      </c>
      <c r="J33" s="86">
        <f>J31/(1-0.062-0.0145-0.01)</f>
        <v>3831.4176245210729</v>
      </c>
    </row>
    <row r="34" spans="1:10" x14ac:dyDescent="0.2">
      <c r="A34" t="s">
        <v>241</v>
      </c>
      <c r="D34" s="93">
        <v>1.4999999999999999E-2</v>
      </c>
      <c r="E34" s="93"/>
      <c r="F34" s="86">
        <v>7000</v>
      </c>
      <c r="I34" s="86" t="s">
        <v>242</v>
      </c>
      <c r="J34" s="86">
        <f>ROUND(-J33*0.062,2)</f>
        <v>-237.55</v>
      </c>
    </row>
    <row r="35" spans="1:10" x14ac:dyDescent="0.2">
      <c r="A35" t="s">
        <v>243</v>
      </c>
      <c r="D35" s="93">
        <v>3.7999999999999999E-2</v>
      </c>
      <c r="E35" s="93"/>
      <c r="F35" s="86">
        <v>7000</v>
      </c>
      <c r="I35" s="86" t="s">
        <v>244</v>
      </c>
      <c r="J35" s="86">
        <f>ROUND(-J33*0.0145,2)</f>
        <v>-55.56</v>
      </c>
    </row>
    <row r="36" spans="1:10" x14ac:dyDescent="0.2">
      <c r="A36" t="s">
        <v>245</v>
      </c>
      <c r="D36" s="93">
        <v>1E-3</v>
      </c>
      <c r="E36" s="93"/>
      <c r="F36" s="86">
        <v>7000</v>
      </c>
      <c r="I36" s="86" t="s">
        <v>246</v>
      </c>
      <c r="J36" s="86">
        <f>ROUND(-J33*0.01,2)</f>
        <v>-38.31</v>
      </c>
    </row>
    <row r="37" spans="1:10" x14ac:dyDescent="0.2">
      <c r="J37" s="86">
        <f>SUM(J33:J36)</f>
        <v>3499.9976245210728</v>
      </c>
    </row>
    <row r="40" spans="1:10" x14ac:dyDescent="0.2">
      <c r="I40" s="86" t="s">
        <v>247</v>
      </c>
    </row>
    <row r="41" spans="1:10" x14ac:dyDescent="0.2">
      <c r="I41" s="88" t="s">
        <v>237</v>
      </c>
      <c r="J41" s="86">
        <v>3000</v>
      </c>
    </row>
    <row r="43" spans="1:10" x14ac:dyDescent="0.2">
      <c r="I43" s="86" t="s">
        <v>240</v>
      </c>
      <c r="J43" s="86">
        <f>J41/(1-0.062-0.0145-0.01)</f>
        <v>3284.0722495894911</v>
      </c>
    </row>
    <row r="44" spans="1:10" x14ac:dyDescent="0.2">
      <c r="I44" s="86" t="s">
        <v>242</v>
      </c>
      <c r="J44" s="86">
        <f>ROUND(-J43*0.062,2)</f>
        <v>-203.61</v>
      </c>
    </row>
    <row r="45" spans="1:10" x14ac:dyDescent="0.2">
      <c r="I45" s="86" t="s">
        <v>244</v>
      </c>
      <c r="J45" s="86">
        <f>ROUND(-J43*0.0145,2)</f>
        <v>-47.62</v>
      </c>
    </row>
    <row r="46" spans="1:10" x14ac:dyDescent="0.2">
      <c r="I46" s="86" t="s">
        <v>246</v>
      </c>
      <c r="J46" s="86">
        <f>ROUND(-J43*0.01,2)</f>
        <v>-32.840000000000003</v>
      </c>
    </row>
    <row r="47" spans="1:10" x14ac:dyDescent="0.2">
      <c r="J47" s="86">
        <f>SUM(J43:J46)</f>
        <v>3000.0022495894909</v>
      </c>
    </row>
  </sheetData>
  <mergeCells count="1">
    <mergeCell ref="P23:R23"/>
  </mergeCells>
  <pageMargins left="0.5" right="0.5" top="0.5" bottom="0.5" header="0.5" footer="0.5"/>
  <pageSetup scale="83" fitToWidth="0" orientation="landscape" r:id="rId1"/>
  <headerFooter alignWithMargins="0">
    <oddFooter>&amp;L&amp;9&amp;D
&amp;F</oddFooter>
  </headerFooter>
  <colBreaks count="1" manualBreakCount="1">
    <brk id="11" min="6" max="4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6"/>
  <sheetViews>
    <sheetView topLeftCell="A77" workbookViewId="0">
      <selection activeCell="I360" sqref="I360"/>
    </sheetView>
  </sheetViews>
  <sheetFormatPr defaultRowHeight="12.75" x14ac:dyDescent="0.2"/>
  <cols>
    <col min="5" max="6" width="9.140625" style="115"/>
  </cols>
  <sheetData>
    <row r="1" spans="1:6" ht="38.25" x14ac:dyDescent="0.2">
      <c r="B1" t="s">
        <v>29</v>
      </c>
      <c r="C1" s="98" t="s">
        <v>353</v>
      </c>
      <c r="D1" s="98" t="s">
        <v>352</v>
      </c>
      <c r="E1" s="129" t="s">
        <v>354</v>
      </c>
      <c r="F1" s="129" t="s">
        <v>355</v>
      </c>
    </row>
    <row r="2" spans="1:6" x14ac:dyDescent="0.2">
      <c r="A2" s="128">
        <v>42005</v>
      </c>
      <c r="C2">
        <f>_xlfn.DAYS(A2,A$2)</f>
        <v>0</v>
      </c>
      <c r="D2">
        <f t="shared" ref="D2:D65" si="0">_xlfn.DAYS(A$366,A2)</f>
        <v>364</v>
      </c>
      <c r="E2" s="115">
        <f t="shared" ref="E2:E65" si="1">D2/365</f>
        <v>0.99726027397260275</v>
      </c>
      <c r="F2" s="115">
        <f>C2/365</f>
        <v>0</v>
      </c>
    </row>
    <row r="3" spans="1:6" x14ac:dyDescent="0.2">
      <c r="A3" s="128">
        <v>42006</v>
      </c>
      <c r="C3">
        <f>_xlfn.DAYS(A3,A$2)</f>
        <v>1</v>
      </c>
      <c r="D3">
        <f t="shared" si="0"/>
        <v>363</v>
      </c>
      <c r="E3" s="115">
        <f t="shared" si="1"/>
        <v>0.9945205479452055</v>
      </c>
      <c r="F3" s="115">
        <f t="shared" ref="F3:F66" si="2">C3/365</f>
        <v>2.7397260273972603E-3</v>
      </c>
    </row>
    <row r="4" spans="1:6" x14ac:dyDescent="0.2">
      <c r="A4" s="128">
        <v>42007</v>
      </c>
      <c r="C4">
        <f t="shared" ref="C4:C67" si="3">_xlfn.DAYS(A4,A$2)</f>
        <v>2</v>
      </c>
      <c r="D4">
        <f t="shared" si="0"/>
        <v>362</v>
      </c>
      <c r="E4" s="115">
        <f t="shared" si="1"/>
        <v>0.99178082191780825</v>
      </c>
      <c r="F4" s="115">
        <f t="shared" si="2"/>
        <v>5.4794520547945206E-3</v>
      </c>
    </row>
    <row r="5" spans="1:6" x14ac:dyDescent="0.2">
      <c r="A5" s="128">
        <v>42008</v>
      </c>
      <c r="C5">
        <f t="shared" si="3"/>
        <v>3</v>
      </c>
      <c r="D5">
        <f t="shared" si="0"/>
        <v>361</v>
      </c>
      <c r="E5" s="115">
        <f t="shared" si="1"/>
        <v>0.989041095890411</v>
      </c>
      <c r="F5" s="115">
        <f t="shared" si="2"/>
        <v>8.21917808219178E-3</v>
      </c>
    </row>
    <row r="6" spans="1:6" x14ac:dyDescent="0.2">
      <c r="A6" s="128">
        <v>42009</v>
      </c>
      <c r="C6">
        <f t="shared" si="3"/>
        <v>4</v>
      </c>
      <c r="D6">
        <f t="shared" si="0"/>
        <v>360</v>
      </c>
      <c r="E6" s="115">
        <f t="shared" si="1"/>
        <v>0.98630136986301364</v>
      </c>
      <c r="F6" s="115">
        <f t="shared" si="2"/>
        <v>1.0958904109589041E-2</v>
      </c>
    </row>
    <row r="7" spans="1:6" x14ac:dyDescent="0.2">
      <c r="A7" s="128">
        <v>42010</v>
      </c>
      <c r="C7">
        <f t="shared" si="3"/>
        <v>5</v>
      </c>
      <c r="D7">
        <f t="shared" si="0"/>
        <v>359</v>
      </c>
      <c r="E7" s="115">
        <f t="shared" si="1"/>
        <v>0.98356164383561639</v>
      </c>
      <c r="F7" s="115">
        <f t="shared" si="2"/>
        <v>1.3698630136986301E-2</v>
      </c>
    </row>
    <row r="8" spans="1:6" x14ac:dyDescent="0.2">
      <c r="A8" s="128">
        <v>42011</v>
      </c>
      <c r="C8">
        <f t="shared" si="3"/>
        <v>6</v>
      </c>
      <c r="D8">
        <f t="shared" si="0"/>
        <v>358</v>
      </c>
      <c r="E8" s="115">
        <f t="shared" si="1"/>
        <v>0.98082191780821915</v>
      </c>
      <c r="F8" s="115">
        <f t="shared" si="2"/>
        <v>1.643835616438356E-2</v>
      </c>
    </row>
    <row r="9" spans="1:6" x14ac:dyDescent="0.2">
      <c r="A9" s="128">
        <v>42012</v>
      </c>
      <c r="C9">
        <f t="shared" si="3"/>
        <v>7</v>
      </c>
      <c r="D9">
        <f t="shared" si="0"/>
        <v>357</v>
      </c>
      <c r="E9" s="115">
        <f t="shared" si="1"/>
        <v>0.9780821917808219</v>
      </c>
      <c r="F9" s="115">
        <f t="shared" si="2"/>
        <v>1.9178082191780823E-2</v>
      </c>
    </row>
    <row r="10" spans="1:6" x14ac:dyDescent="0.2">
      <c r="A10" s="128">
        <v>42013</v>
      </c>
      <c r="C10">
        <f t="shared" si="3"/>
        <v>8</v>
      </c>
      <c r="D10">
        <f t="shared" si="0"/>
        <v>356</v>
      </c>
      <c r="E10" s="115">
        <f t="shared" si="1"/>
        <v>0.97534246575342465</v>
      </c>
      <c r="F10" s="115">
        <f t="shared" si="2"/>
        <v>2.1917808219178082E-2</v>
      </c>
    </row>
    <row r="11" spans="1:6" x14ac:dyDescent="0.2">
      <c r="A11" s="128">
        <v>42014</v>
      </c>
      <c r="C11">
        <f t="shared" si="3"/>
        <v>9</v>
      </c>
      <c r="D11">
        <f t="shared" si="0"/>
        <v>355</v>
      </c>
      <c r="E11" s="115">
        <f t="shared" si="1"/>
        <v>0.9726027397260274</v>
      </c>
      <c r="F11" s="115">
        <f t="shared" si="2"/>
        <v>2.4657534246575342E-2</v>
      </c>
    </row>
    <row r="12" spans="1:6" x14ac:dyDescent="0.2">
      <c r="A12" s="128">
        <v>42015</v>
      </c>
      <c r="C12">
        <f t="shared" si="3"/>
        <v>10</v>
      </c>
      <c r="D12">
        <f t="shared" si="0"/>
        <v>354</v>
      </c>
      <c r="E12" s="115">
        <f t="shared" si="1"/>
        <v>0.96986301369863015</v>
      </c>
      <c r="F12" s="115">
        <f t="shared" si="2"/>
        <v>2.7397260273972601E-2</v>
      </c>
    </row>
    <row r="13" spans="1:6" x14ac:dyDescent="0.2">
      <c r="A13" s="128">
        <v>42016</v>
      </c>
      <c r="C13">
        <f t="shared" si="3"/>
        <v>11</v>
      </c>
      <c r="D13">
        <f t="shared" si="0"/>
        <v>353</v>
      </c>
      <c r="E13" s="115">
        <f t="shared" si="1"/>
        <v>0.9671232876712329</v>
      </c>
      <c r="F13" s="115">
        <f t="shared" si="2"/>
        <v>3.0136986301369864E-2</v>
      </c>
    </row>
    <row r="14" spans="1:6" x14ac:dyDescent="0.2">
      <c r="A14" s="128">
        <v>42017</v>
      </c>
      <c r="C14">
        <f t="shared" si="3"/>
        <v>12</v>
      </c>
      <c r="D14">
        <f t="shared" si="0"/>
        <v>352</v>
      </c>
      <c r="E14" s="115">
        <f t="shared" si="1"/>
        <v>0.96438356164383565</v>
      </c>
      <c r="F14" s="115">
        <f t="shared" si="2"/>
        <v>3.287671232876712E-2</v>
      </c>
    </row>
    <row r="15" spans="1:6" x14ac:dyDescent="0.2">
      <c r="A15" s="128">
        <v>42018</v>
      </c>
      <c r="C15">
        <f t="shared" si="3"/>
        <v>13</v>
      </c>
      <c r="D15">
        <f t="shared" si="0"/>
        <v>351</v>
      </c>
      <c r="E15" s="115">
        <f t="shared" si="1"/>
        <v>0.9616438356164384</v>
      </c>
      <c r="F15" s="115">
        <f t="shared" si="2"/>
        <v>3.5616438356164383E-2</v>
      </c>
    </row>
    <row r="16" spans="1:6" x14ac:dyDescent="0.2">
      <c r="A16" s="128">
        <v>42019</v>
      </c>
      <c r="C16">
        <f t="shared" si="3"/>
        <v>14</v>
      </c>
      <c r="D16">
        <f t="shared" si="0"/>
        <v>350</v>
      </c>
      <c r="E16" s="115">
        <f t="shared" si="1"/>
        <v>0.95890410958904104</v>
      </c>
      <c r="F16" s="115">
        <f t="shared" si="2"/>
        <v>3.8356164383561646E-2</v>
      </c>
    </row>
    <row r="17" spans="1:6" x14ac:dyDescent="0.2">
      <c r="A17" s="128">
        <v>42020</v>
      </c>
      <c r="C17">
        <f t="shared" si="3"/>
        <v>15</v>
      </c>
      <c r="D17">
        <f t="shared" si="0"/>
        <v>349</v>
      </c>
      <c r="E17" s="115">
        <f t="shared" si="1"/>
        <v>0.95616438356164379</v>
      </c>
      <c r="F17" s="115">
        <f t="shared" si="2"/>
        <v>4.1095890410958902E-2</v>
      </c>
    </row>
    <row r="18" spans="1:6" x14ac:dyDescent="0.2">
      <c r="A18" s="128">
        <v>42021</v>
      </c>
      <c r="C18">
        <f t="shared" si="3"/>
        <v>16</v>
      </c>
      <c r="D18">
        <f t="shared" si="0"/>
        <v>348</v>
      </c>
      <c r="E18" s="115">
        <f t="shared" si="1"/>
        <v>0.95342465753424654</v>
      </c>
      <c r="F18" s="115">
        <f t="shared" si="2"/>
        <v>4.3835616438356165E-2</v>
      </c>
    </row>
    <row r="19" spans="1:6" x14ac:dyDescent="0.2">
      <c r="A19" s="128">
        <v>42022</v>
      </c>
      <c r="C19">
        <f t="shared" si="3"/>
        <v>17</v>
      </c>
      <c r="D19">
        <f t="shared" si="0"/>
        <v>347</v>
      </c>
      <c r="E19" s="115">
        <f t="shared" si="1"/>
        <v>0.9506849315068493</v>
      </c>
      <c r="F19" s="115">
        <f t="shared" si="2"/>
        <v>4.6575342465753428E-2</v>
      </c>
    </row>
    <row r="20" spans="1:6" x14ac:dyDescent="0.2">
      <c r="A20" s="128">
        <v>42023</v>
      </c>
      <c r="C20">
        <f t="shared" si="3"/>
        <v>18</v>
      </c>
      <c r="D20">
        <f t="shared" si="0"/>
        <v>346</v>
      </c>
      <c r="E20" s="115">
        <f t="shared" si="1"/>
        <v>0.94794520547945205</v>
      </c>
      <c r="F20" s="115">
        <f t="shared" si="2"/>
        <v>4.9315068493150684E-2</v>
      </c>
    </row>
    <row r="21" spans="1:6" x14ac:dyDescent="0.2">
      <c r="A21" s="128">
        <v>42024</v>
      </c>
      <c r="C21">
        <f t="shared" si="3"/>
        <v>19</v>
      </c>
      <c r="D21">
        <f t="shared" si="0"/>
        <v>345</v>
      </c>
      <c r="E21" s="115">
        <f t="shared" si="1"/>
        <v>0.9452054794520548</v>
      </c>
      <c r="F21" s="115">
        <f t="shared" si="2"/>
        <v>5.2054794520547946E-2</v>
      </c>
    </row>
    <row r="22" spans="1:6" x14ac:dyDescent="0.2">
      <c r="A22" s="128">
        <v>42025</v>
      </c>
      <c r="C22">
        <f t="shared" si="3"/>
        <v>20</v>
      </c>
      <c r="D22">
        <f t="shared" si="0"/>
        <v>344</v>
      </c>
      <c r="E22" s="115">
        <f t="shared" si="1"/>
        <v>0.94246575342465755</v>
      </c>
      <c r="F22" s="115">
        <f t="shared" si="2"/>
        <v>5.4794520547945202E-2</v>
      </c>
    </row>
    <row r="23" spans="1:6" x14ac:dyDescent="0.2">
      <c r="A23" s="128">
        <v>42026</v>
      </c>
      <c r="C23">
        <f t="shared" si="3"/>
        <v>21</v>
      </c>
      <c r="D23">
        <f t="shared" si="0"/>
        <v>343</v>
      </c>
      <c r="E23" s="115">
        <f t="shared" si="1"/>
        <v>0.9397260273972603</v>
      </c>
      <c r="F23" s="115">
        <f t="shared" si="2"/>
        <v>5.7534246575342465E-2</v>
      </c>
    </row>
    <row r="24" spans="1:6" x14ac:dyDescent="0.2">
      <c r="A24" s="128">
        <v>42027</v>
      </c>
      <c r="C24">
        <f t="shared" si="3"/>
        <v>22</v>
      </c>
      <c r="D24">
        <f t="shared" si="0"/>
        <v>342</v>
      </c>
      <c r="E24" s="115">
        <f t="shared" si="1"/>
        <v>0.93698630136986305</v>
      </c>
      <c r="F24" s="115">
        <f t="shared" si="2"/>
        <v>6.0273972602739728E-2</v>
      </c>
    </row>
    <row r="25" spans="1:6" x14ac:dyDescent="0.2">
      <c r="A25" s="128">
        <v>42028</v>
      </c>
      <c r="C25">
        <f t="shared" si="3"/>
        <v>23</v>
      </c>
      <c r="D25">
        <f t="shared" si="0"/>
        <v>341</v>
      </c>
      <c r="E25" s="115">
        <f t="shared" si="1"/>
        <v>0.9342465753424658</v>
      </c>
      <c r="F25" s="115">
        <f t="shared" si="2"/>
        <v>6.3013698630136991E-2</v>
      </c>
    </row>
    <row r="26" spans="1:6" x14ac:dyDescent="0.2">
      <c r="A26" s="128">
        <v>42029</v>
      </c>
      <c r="C26">
        <f t="shared" si="3"/>
        <v>24</v>
      </c>
      <c r="D26">
        <f t="shared" si="0"/>
        <v>340</v>
      </c>
      <c r="E26" s="115">
        <f t="shared" si="1"/>
        <v>0.93150684931506844</v>
      </c>
      <c r="F26" s="115">
        <f t="shared" si="2"/>
        <v>6.575342465753424E-2</v>
      </c>
    </row>
    <row r="27" spans="1:6" x14ac:dyDescent="0.2">
      <c r="A27" s="128">
        <v>42030</v>
      </c>
      <c r="C27">
        <f t="shared" si="3"/>
        <v>25</v>
      </c>
      <c r="D27">
        <f t="shared" si="0"/>
        <v>339</v>
      </c>
      <c r="E27" s="115">
        <f t="shared" si="1"/>
        <v>0.92876712328767119</v>
      </c>
      <c r="F27" s="115">
        <f t="shared" si="2"/>
        <v>6.8493150684931503E-2</v>
      </c>
    </row>
    <row r="28" spans="1:6" x14ac:dyDescent="0.2">
      <c r="A28" s="128">
        <v>42031</v>
      </c>
      <c r="C28">
        <f t="shared" si="3"/>
        <v>26</v>
      </c>
      <c r="D28">
        <f t="shared" si="0"/>
        <v>338</v>
      </c>
      <c r="E28" s="115">
        <f t="shared" si="1"/>
        <v>0.92602739726027394</v>
      </c>
      <c r="F28" s="115">
        <f t="shared" si="2"/>
        <v>7.1232876712328766E-2</v>
      </c>
    </row>
    <row r="29" spans="1:6" x14ac:dyDescent="0.2">
      <c r="A29" s="128">
        <v>42032</v>
      </c>
      <c r="C29">
        <f t="shared" si="3"/>
        <v>27</v>
      </c>
      <c r="D29">
        <f t="shared" si="0"/>
        <v>337</v>
      </c>
      <c r="E29" s="115">
        <f t="shared" si="1"/>
        <v>0.92328767123287669</v>
      </c>
      <c r="F29" s="115">
        <f t="shared" si="2"/>
        <v>7.3972602739726029E-2</v>
      </c>
    </row>
    <row r="30" spans="1:6" x14ac:dyDescent="0.2">
      <c r="A30" s="128">
        <v>42033</v>
      </c>
      <c r="C30">
        <f t="shared" si="3"/>
        <v>28</v>
      </c>
      <c r="D30">
        <f t="shared" si="0"/>
        <v>336</v>
      </c>
      <c r="E30" s="115">
        <f t="shared" si="1"/>
        <v>0.92054794520547945</v>
      </c>
      <c r="F30" s="115">
        <f t="shared" si="2"/>
        <v>7.6712328767123292E-2</v>
      </c>
    </row>
    <row r="31" spans="1:6" x14ac:dyDescent="0.2">
      <c r="A31" s="128">
        <v>42034</v>
      </c>
      <c r="C31">
        <f t="shared" si="3"/>
        <v>29</v>
      </c>
      <c r="D31">
        <f t="shared" si="0"/>
        <v>335</v>
      </c>
      <c r="E31" s="115">
        <f t="shared" si="1"/>
        <v>0.9178082191780822</v>
      </c>
      <c r="F31" s="115">
        <f t="shared" si="2"/>
        <v>7.9452054794520555E-2</v>
      </c>
    </row>
    <row r="32" spans="1:6" x14ac:dyDescent="0.2">
      <c r="A32" s="128">
        <v>42035</v>
      </c>
      <c r="C32">
        <f t="shared" si="3"/>
        <v>30</v>
      </c>
      <c r="D32">
        <f t="shared" si="0"/>
        <v>334</v>
      </c>
      <c r="E32" s="115">
        <f t="shared" si="1"/>
        <v>0.91506849315068495</v>
      </c>
      <c r="F32" s="115">
        <f t="shared" si="2"/>
        <v>8.2191780821917804E-2</v>
      </c>
    </row>
    <row r="33" spans="1:6" x14ac:dyDescent="0.2">
      <c r="A33" s="128">
        <v>42036</v>
      </c>
      <c r="C33">
        <f t="shared" si="3"/>
        <v>31</v>
      </c>
      <c r="D33">
        <f t="shared" si="0"/>
        <v>333</v>
      </c>
      <c r="E33" s="115">
        <f t="shared" si="1"/>
        <v>0.9123287671232877</v>
      </c>
      <c r="F33" s="115">
        <f t="shared" si="2"/>
        <v>8.4931506849315067E-2</v>
      </c>
    </row>
    <row r="34" spans="1:6" x14ac:dyDescent="0.2">
      <c r="A34" s="128">
        <v>42037</v>
      </c>
      <c r="C34">
        <f t="shared" si="3"/>
        <v>32</v>
      </c>
      <c r="D34">
        <f t="shared" si="0"/>
        <v>332</v>
      </c>
      <c r="E34" s="115">
        <f t="shared" si="1"/>
        <v>0.90958904109589045</v>
      </c>
      <c r="F34" s="115">
        <f t="shared" si="2"/>
        <v>8.7671232876712329E-2</v>
      </c>
    </row>
    <row r="35" spans="1:6" x14ac:dyDescent="0.2">
      <c r="A35" s="128">
        <v>42038</v>
      </c>
      <c r="C35">
        <f t="shared" si="3"/>
        <v>33</v>
      </c>
      <c r="D35">
        <f t="shared" si="0"/>
        <v>331</v>
      </c>
      <c r="E35" s="115">
        <f t="shared" si="1"/>
        <v>0.9068493150684932</v>
      </c>
      <c r="F35" s="115">
        <f t="shared" si="2"/>
        <v>9.0410958904109592E-2</v>
      </c>
    </row>
    <row r="36" spans="1:6" x14ac:dyDescent="0.2">
      <c r="A36" s="128">
        <v>42039</v>
      </c>
      <c r="C36">
        <f t="shared" si="3"/>
        <v>34</v>
      </c>
      <c r="D36">
        <f t="shared" si="0"/>
        <v>330</v>
      </c>
      <c r="E36" s="115">
        <f t="shared" si="1"/>
        <v>0.90410958904109584</v>
      </c>
      <c r="F36" s="115">
        <f t="shared" si="2"/>
        <v>9.3150684931506855E-2</v>
      </c>
    </row>
    <row r="37" spans="1:6" x14ac:dyDescent="0.2">
      <c r="A37" s="128">
        <v>42040</v>
      </c>
      <c r="C37">
        <f t="shared" si="3"/>
        <v>35</v>
      </c>
      <c r="D37">
        <f t="shared" si="0"/>
        <v>329</v>
      </c>
      <c r="E37" s="115">
        <f t="shared" si="1"/>
        <v>0.90136986301369859</v>
      </c>
      <c r="F37" s="115">
        <f t="shared" si="2"/>
        <v>9.5890410958904104E-2</v>
      </c>
    </row>
    <row r="38" spans="1:6" x14ac:dyDescent="0.2">
      <c r="A38" s="128">
        <v>42041</v>
      </c>
      <c r="C38">
        <f t="shared" si="3"/>
        <v>36</v>
      </c>
      <c r="D38">
        <f t="shared" si="0"/>
        <v>328</v>
      </c>
      <c r="E38" s="115">
        <f t="shared" si="1"/>
        <v>0.89863013698630134</v>
      </c>
      <c r="F38" s="115">
        <f t="shared" si="2"/>
        <v>9.8630136986301367E-2</v>
      </c>
    </row>
    <row r="39" spans="1:6" x14ac:dyDescent="0.2">
      <c r="A39" s="128">
        <v>42042</v>
      </c>
      <c r="C39">
        <f t="shared" si="3"/>
        <v>37</v>
      </c>
      <c r="D39">
        <f t="shared" si="0"/>
        <v>327</v>
      </c>
      <c r="E39" s="115">
        <f t="shared" si="1"/>
        <v>0.89589041095890409</v>
      </c>
      <c r="F39" s="115">
        <f t="shared" si="2"/>
        <v>0.10136986301369863</v>
      </c>
    </row>
    <row r="40" spans="1:6" x14ac:dyDescent="0.2">
      <c r="A40" s="128">
        <v>42043</v>
      </c>
      <c r="C40">
        <f t="shared" si="3"/>
        <v>38</v>
      </c>
      <c r="D40">
        <f t="shared" si="0"/>
        <v>326</v>
      </c>
      <c r="E40" s="115">
        <f t="shared" si="1"/>
        <v>0.89315068493150684</v>
      </c>
      <c r="F40" s="115">
        <f t="shared" si="2"/>
        <v>0.10410958904109589</v>
      </c>
    </row>
    <row r="41" spans="1:6" x14ac:dyDescent="0.2">
      <c r="A41" s="128">
        <v>42044</v>
      </c>
      <c r="C41">
        <f t="shared" si="3"/>
        <v>39</v>
      </c>
      <c r="D41">
        <f t="shared" si="0"/>
        <v>325</v>
      </c>
      <c r="E41" s="115">
        <f t="shared" si="1"/>
        <v>0.8904109589041096</v>
      </c>
      <c r="F41" s="115">
        <f t="shared" si="2"/>
        <v>0.10684931506849316</v>
      </c>
    </row>
    <row r="42" spans="1:6" x14ac:dyDescent="0.2">
      <c r="A42" s="128">
        <v>42045</v>
      </c>
      <c r="C42">
        <f t="shared" si="3"/>
        <v>40</v>
      </c>
      <c r="D42">
        <f t="shared" si="0"/>
        <v>324</v>
      </c>
      <c r="E42" s="115">
        <f t="shared" si="1"/>
        <v>0.88767123287671235</v>
      </c>
      <c r="F42" s="115">
        <f t="shared" si="2"/>
        <v>0.1095890410958904</v>
      </c>
    </row>
    <row r="43" spans="1:6" x14ac:dyDescent="0.2">
      <c r="A43" s="128">
        <v>42046</v>
      </c>
      <c r="C43">
        <f t="shared" si="3"/>
        <v>41</v>
      </c>
      <c r="D43">
        <f t="shared" si="0"/>
        <v>323</v>
      </c>
      <c r="E43" s="115">
        <f t="shared" si="1"/>
        <v>0.8849315068493151</v>
      </c>
      <c r="F43" s="115">
        <f t="shared" si="2"/>
        <v>0.11232876712328767</v>
      </c>
    </row>
    <row r="44" spans="1:6" x14ac:dyDescent="0.2">
      <c r="A44" s="128">
        <v>42047</v>
      </c>
      <c r="C44">
        <f t="shared" si="3"/>
        <v>42</v>
      </c>
      <c r="D44">
        <f t="shared" si="0"/>
        <v>322</v>
      </c>
      <c r="E44" s="115">
        <f t="shared" si="1"/>
        <v>0.88219178082191785</v>
      </c>
      <c r="F44" s="115">
        <f t="shared" si="2"/>
        <v>0.11506849315068493</v>
      </c>
    </row>
    <row r="45" spans="1:6" x14ac:dyDescent="0.2">
      <c r="A45" s="128">
        <v>42048</v>
      </c>
      <c r="C45">
        <f t="shared" si="3"/>
        <v>43</v>
      </c>
      <c r="D45">
        <f t="shared" si="0"/>
        <v>321</v>
      </c>
      <c r="E45" s="115">
        <f t="shared" si="1"/>
        <v>0.8794520547945206</v>
      </c>
      <c r="F45" s="115">
        <f t="shared" si="2"/>
        <v>0.11780821917808219</v>
      </c>
    </row>
    <row r="46" spans="1:6" x14ac:dyDescent="0.2">
      <c r="A46" s="128">
        <v>42049</v>
      </c>
      <c r="C46">
        <f t="shared" si="3"/>
        <v>44</v>
      </c>
      <c r="D46">
        <f t="shared" si="0"/>
        <v>320</v>
      </c>
      <c r="E46" s="115">
        <f t="shared" si="1"/>
        <v>0.87671232876712324</v>
      </c>
      <c r="F46" s="115">
        <f t="shared" si="2"/>
        <v>0.12054794520547946</v>
      </c>
    </row>
    <row r="47" spans="1:6" x14ac:dyDescent="0.2">
      <c r="A47" s="128">
        <v>42050</v>
      </c>
      <c r="C47">
        <f t="shared" si="3"/>
        <v>45</v>
      </c>
      <c r="D47">
        <f t="shared" si="0"/>
        <v>319</v>
      </c>
      <c r="E47" s="115">
        <f t="shared" si="1"/>
        <v>0.87397260273972599</v>
      </c>
      <c r="F47" s="115">
        <f t="shared" si="2"/>
        <v>0.12328767123287671</v>
      </c>
    </row>
    <row r="48" spans="1:6" x14ac:dyDescent="0.2">
      <c r="A48" s="128">
        <v>42051</v>
      </c>
      <c r="C48">
        <f t="shared" si="3"/>
        <v>46</v>
      </c>
      <c r="D48">
        <f t="shared" si="0"/>
        <v>318</v>
      </c>
      <c r="E48" s="115">
        <f t="shared" si="1"/>
        <v>0.87123287671232874</v>
      </c>
      <c r="F48" s="115">
        <f t="shared" si="2"/>
        <v>0.12602739726027398</v>
      </c>
    </row>
    <row r="49" spans="1:6" x14ac:dyDescent="0.2">
      <c r="A49" s="128">
        <v>42052</v>
      </c>
      <c r="C49">
        <f t="shared" si="3"/>
        <v>47</v>
      </c>
      <c r="D49">
        <f t="shared" si="0"/>
        <v>317</v>
      </c>
      <c r="E49" s="115">
        <f t="shared" si="1"/>
        <v>0.86849315068493149</v>
      </c>
      <c r="F49" s="115">
        <f t="shared" si="2"/>
        <v>0.12876712328767123</v>
      </c>
    </row>
    <row r="50" spans="1:6" x14ac:dyDescent="0.2">
      <c r="A50" s="128">
        <v>42053</v>
      </c>
      <c r="C50">
        <f t="shared" si="3"/>
        <v>48</v>
      </c>
      <c r="D50">
        <f t="shared" si="0"/>
        <v>316</v>
      </c>
      <c r="E50" s="115">
        <f t="shared" si="1"/>
        <v>0.86575342465753424</v>
      </c>
      <c r="F50" s="115">
        <f t="shared" si="2"/>
        <v>0.13150684931506848</v>
      </c>
    </row>
    <row r="51" spans="1:6" x14ac:dyDescent="0.2">
      <c r="A51" s="128">
        <v>42054</v>
      </c>
      <c r="C51">
        <f t="shared" si="3"/>
        <v>49</v>
      </c>
      <c r="D51">
        <f t="shared" si="0"/>
        <v>315</v>
      </c>
      <c r="E51" s="115">
        <f t="shared" si="1"/>
        <v>0.86301369863013699</v>
      </c>
      <c r="F51" s="115">
        <f t="shared" si="2"/>
        <v>0.13424657534246576</v>
      </c>
    </row>
    <row r="52" spans="1:6" x14ac:dyDescent="0.2">
      <c r="A52" s="128">
        <v>42055</v>
      </c>
      <c r="C52">
        <f t="shared" si="3"/>
        <v>50</v>
      </c>
      <c r="D52">
        <f t="shared" si="0"/>
        <v>314</v>
      </c>
      <c r="E52" s="115">
        <f t="shared" si="1"/>
        <v>0.86027397260273974</v>
      </c>
      <c r="F52" s="115">
        <f t="shared" si="2"/>
        <v>0.13698630136986301</v>
      </c>
    </row>
    <row r="53" spans="1:6" x14ac:dyDescent="0.2">
      <c r="A53" s="128">
        <v>42056</v>
      </c>
      <c r="C53">
        <f t="shared" si="3"/>
        <v>51</v>
      </c>
      <c r="D53">
        <f t="shared" si="0"/>
        <v>313</v>
      </c>
      <c r="E53" s="115">
        <f t="shared" si="1"/>
        <v>0.8575342465753425</v>
      </c>
      <c r="F53" s="115">
        <f t="shared" si="2"/>
        <v>0.13972602739726028</v>
      </c>
    </row>
    <row r="54" spans="1:6" x14ac:dyDescent="0.2">
      <c r="A54" s="128">
        <v>42057</v>
      </c>
      <c r="C54">
        <f t="shared" si="3"/>
        <v>52</v>
      </c>
      <c r="D54">
        <f t="shared" si="0"/>
        <v>312</v>
      </c>
      <c r="E54" s="115">
        <f t="shared" si="1"/>
        <v>0.85479452054794525</v>
      </c>
      <c r="F54" s="115">
        <f t="shared" si="2"/>
        <v>0.14246575342465753</v>
      </c>
    </row>
    <row r="55" spans="1:6" x14ac:dyDescent="0.2">
      <c r="A55" s="128">
        <v>42058</v>
      </c>
      <c r="C55">
        <f t="shared" si="3"/>
        <v>53</v>
      </c>
      <c r="D55">
        <f t="shared" si="0"/>
        <v>311</v>
      </c>
      <c r="E55" s="115">
        <f t="shared" si="1"/>
        <v>0.852054794520548</v>
      </c>
      <c r="F55" s="115">
        <f t="shared" si="2"/>
        <v>0.14520547945205478</v>
      </c>
    </row>
    <row r="56" spans="1:6" x14ac:dyDescent="0.2">
      <c r="A56" s="128">
        <v>42059</v>
      </c>
      <c r="C56">
        <f t="shared" si="3"/>
        <v>54</v>
      </c>
      <c r="D56">
        <f t="shared" si="0"/>
        <v>310</v>
      </c>
      <c r="E56" s="115">
        <f t="shared" si="1"/>
        <v>0.84931506849315064</v>
      </c>
      <c r="F56" s="115">
        <f t="shared" si="2"/>
        <v>0.14794520547945206</v>
      </c>
    </row>
    <row r="57" spans="1:6" x14ac:dyDescent="0.2">
      <c r="A57" s="128">
        <v>42060</v>
      </c>
      <c r="C57">
        <f t="shared" si="3"/>
        <v>55</v>
      </c>
      <c r="D57">
        <f t="shared" si="0"/>
        <v>309</v>
      </c>
      <c r="E57" s="115">
        <f t="shared" si="1"/>
        <v>0.84657534246575339</v>
      </c>
      <c r="F57" s="115">
        <f t="shared" si="2"/>
        <v>0.15068493150684931</v>
      </c>
    </row>
    <row r="58" spans="1:6" x14ac:dyDescent="0.2">
      <c r="A58" s="128">
        <v>42061</v>
      </c>
      <c r="C58">
        <f t="shared" si="3"/>
        <v>56</v>
      </c>
      <c r="D58">
        <f t="shared" si="0"/>
        <v>308</v>
      </c>
      <c r="E58" s="115">
        <f t="shared" si="1"/>
        <v>0.84383561643835614</v>
      </c>
      <c r="F58" s="115">
        <f t="shared" si="2"/>
        <v>0.15342465753424658</v>
      </c>
    </row>
    <row r="59" spans="1:6" x14ac:dyDescent="0.2">
      <c r="A59" s="128">
        <v>42062</v>
      </c>
      <c r="C59">
        <f t="shared" si="3"/>
        <v>57</v>
      </c>
      <c r="D59">
        <f t="shared" si="0"/>
        <v>307</v>
      </c>
      <c r="E59" s="115">
        <f t="shared" si="1"/>
        <v>0.84109589041095889</v>
      </c>
      <c r="F59" s="115">
        <f t="shared" si="2"/>
        <v>0.15616438356164383</v>
      </c>
    </row>
    <row r="60" spans="1:6" x14ac:dyDescent="0.2">
      <c r="A60" s="128">
        <v>42063</v>
      </c>
      <c r="C60">
        <f t="shared" si="3"/>
        <v>58</v>
      </c>
      <c r="D60">
        <f t="shared" si="0"/>
        <v>306</v>
      </c>
      <c r="E60" s="115">
        <f t="shared" si="1"/>
        <v>0.83835616438356164</v>
      </c>
      <c r="F60" s="115">
        <f t="shared" si="2"/>
        <v>0.15890410958904111</v>
      </c>
    </row>
    <row r="61" spans="1:6" x14ac:dyDescent="0.2">
      <c r="A61" s="128">
        <v>42064</v>
      </c>
      <c r="C61">
        <f t="shared" si="3"/>
        <v>59</v>
      </c>
      <c r="D61">
        <f t="shared" si="0"/>
        <v>305</v>
      </c>
      <c r="E61" s="115">
        <f t="shared" si="1"/>
        <v>0.83561643835616439</v>
      </c>
      <c r="F61" s="115">
        <f t="shared" si="2"/>
        <v>0.16164383561643836</v>
      </c>
    </row>
    <row r="62" spans="1:6" x14ac:dyDescent="0.2">
      <c r="A62" s="128">
        <v>42065</v>
      </c>
      <c r="C62">
        <f t="shared" si="3"/>
        <v>60</v>
      </c>
      <c r="D62">
        <f t="shared" si="0"/>
        <v>304</v>
      </c>
      <c r="E62" s="115">
        <f t="shared" si="1"/>
        <v>0.83287671232876714</v>
      </c>
      <c r="F62" s="115">
        <f t="shared" si="2"/>
        <v>0.16438356164383561</v>
      </c>
    </row>
    <row r="63" spans="1:6" x14ac:dyDescent="0.2">
      <c r="A63" s="128">
        <v>42066</v>
      </c>
      <c r="C63">
        <f t="shared" si="3"/>
        <v>61</v>
      </c>
      <c r="D63">
        <f t="shared" si="0"/>
        <v>303</v>
      </c>
      <c r="E63" s="115">
        <f t="shared" si="1"/>
        <v>0.83013698630136989</v>
      </c>
      <c r="F63" s="115">
        <f t="shared" si="2"/>
        <v>0.16712328767123288</v>
      </c>
    </row>
    <row r="64" spans="1:6" x14ac:dyDescent="0.2">
      <c r="A64" s="128">
        <v>42067</v>
      </c>
      <c r="C64">
        <f t="shared" si="3"/>
        <v>62</v>
      </c>
      <c r="D64">
        <f t="shared" si="0"/>
        <v>302</v>
      </c>
      <c r="E64" s="115">
        <f t="shared" si="1"/>
        <v>0.82739726027397265</v>
      </c>
      <c r="F64" s="115">
        <f t="shared" si="2"/>
        <v>0.16986301369863013</v>
      </c>
    </row>
    <row r="65" spans="1:6" x14ac:dyDescent="0.2">
      <c r="A65" s="128">
        <v>42068</v>
      </c>
      <c r="C65">
        <f t="shared" si="3"/>
        <v>63</v>
      </c>
      <c r="D65">
        <f t="shared" si="0"/>
        <v>301</v>
      </c>
      <c r="E65" s="115">
        <f t="shared" si="1"/>
        <v>0.8246575342465754</v>
      </c>
      <c r="F65" s="115">
        <f t="shared" si="2"/>
        <v>0.17260273972602741</v>
      </c>
    </row>
    <row r="66" spans="1:6" x14ac:dyDescent="0.2">
      <c r="A66" s="128">
        <v>42069</v>
      </c>
      <c r="C66">
        <f t="shared" si="3"/>
        <v>64</v>
      </c>
      <c r="D66">
        <f t="shared" ref="D66:D82" si="4">_xlfn.DAYS(A$366,A66)</f>
        <v>300</v>
      </c>
      <c r="E66" s="115">
        <f t="shared" ref="E66:E91" si="5">D66/365</f>
        <v>0.82191780821917804</v>
      </c>
      <c r="F66" s="115">
        <f t="shared" si="2"/>
        <v>0.17534246575342466</v>
      </c>
    </row>
    <row r="67" spans="1:6" x14ac:dyDescent="0.2">
      <c r="A67" s="128">
        <v>42070</v>
      </c>
      <c r="C67">
        <f t="shared" si="3"/>
        <v>65</v>
      </c>
      <c r="D67">
        <f t="shared" si="4"/>
        <v>299</v>
      </c>
      <c r="E67" s="115">
        <f t="shared" si="5"/>
        <v>0.81917808219178079</v>
      </c>
      <c r="F67" s="115">
        <f t="shared" ref="F67:F130" si="6">C67/365</f>
        <v>0.17808219178082191</v>
      </c>
    </row>
    <row r="68" spans="1:6" x14ac:dyDescent="0.2">
      <c r="A68" s="128">
        <v>42071</v>
      </c>
      <c r="C68">
        <f t="shared" ref="C68:C131" si="7">_xlfn.DAYS(A68,A$2)</f>
        <v>66</v>
      </c>
      <c r="D68">
        <f t="shared" si="4"/>
        <v>298</v>
      </c>
      <c r="E68" s="115">
        <f t="shared" si="5"/>
        <v>0.81643835616438354</v>
      </c>
      <c r="F68" s="115">
        <f t="shared" si="6"/>
        <v>0.18082191780821918</v>
      </c>
    </row>
    <row r="69" spans="1:6" x14ac:dyDescent="0.2">
      <c r="A69" s="128">
        <v>42072</v>
      </c>
      <c r="C69">
        <f t="shared" si="7"/>
        <v>67</v>
      </c>
      <c r="D69">
        <f t="shared" si="4"/>
        <v>297</v>
      </c>
      <c r="E69" s="115">
        <f t="shared" si="5"/>
        <v>0.81369863013698629</v>
      </c>
      <c r="F69" s="115">
        <f t="shared" si="6"/>
        <v>0.18356164383561643</v>
      </c>
    </row>
    <row r="70" spans="1:6" x14ac:dyDescent="0.2">
      <c r="A70" s="128">
        <v>42073</v>
      </c>
      <c r="C70">
        <f t="shared" si="7"/>
        <v>68</v>
      </c>
      <c r="D70">
        <f t="shared" si="4"/>
        <v>296</v>
      </c>
      <c r="E70" s="115">
        <f t="shared" si="5"/>
        <v>0.81095890410958904</v>
      </c>
      <c r="F70" s="115">
        <f t="shared" si="6"/>
        <v>0.18630136986301371</v>
      </c>
    </row>
    <row r="71" spans="1:6" x14ac:dyDescent="0.2">
      <c r="A71" s="128">
        <v>42074</v>
      </c>
      <c r="C71">
        <f t="shared" si="7"/>
        <v>69</v>
      </c>
      <c r="D71">
        <f t="shared" si="4"/>
        <v>295</v>
      </c>
      <c r="E71" s="115">
        <f t="shared" si="5"/>
        <v>0.80821917808219179</v>
      </c>
      <c r="F71" s="115">
        <f t="shared" si="6"/>
        <v>0.18904109589041096</v>
      </c>
    </row>
    <row r="72" spans="1:6" x14ac:dyDescent="0.2">
      <c r="A72" s="128">
        <v>42075</v>
      </c>
      <c r="C72">
        <f t="shared" si="7"/>
        <v>70</v>
      </c>
      <c r="D72">
        <f t="shared" si="4"/>
        <v>294</v>
      </c>
      <c r="E72" s="115">
        <f t="shared" si="5"/>
        <v>0.80547945205479454</v>
      </c>
      <c r="F72" s="115">
        <f t="shared" si="6"/>
        <v>0.19178082191780821</v>
      </c>
    </row>
    <row r="73" spans="1:6" x14ac:dyDescent="0.2">
      <c r="A73" s="128">
        <v>42076</v>
      </c>
      <c r="C73">
        <f t="shared" si="7"/>
        <v>71</v>
      </c>
      <c r="D73">
        <f t="shared" si="4"/>
        <v>293</v>
      </c>
      <c r="E73" s="115">
        <f t="shared" si="5"/>
        <v>0.80273972602739729</v>
      </c>
      <c r="F73" s="115">
        <f t="shared" si="6"/>
        <v>0.19452054794520549</v>
      </c>
    </row>
    <row r="74" spans="1:6" x14ac:dyDescent="0.2">
      <c r="A74" s="128">
        <v>42077</v>
      </c>
      <c r="C74">
        <f t="shared" si="7"/>
        <v>72</v>
      </c>
      <c r="D74">
        <f t="shared" si="4"/>
        <v>292</v>
      </c>
      <c r="E74" s="115">
        <f t="shared" si="5"/>
        <v>0.8</v>
      </c>
      <c r="F74" s="115">
        <f t="shared" si="6"/>
        <v>0.19726027397260273</v>
      </c>
    </row>
    <row r="75" spans="1:6" x14ac:dyDescent="0.2">
      <c r="A75" s="128">
        <v>42078</v>
      </c>
      <c r="C75">
        <f t="shared" si="7"/>
        <v>73</v>
      </c>
      <c r="D75">
        <f t="shared" si="4"/>
        <v>291</v>
      </c>
      <c r="E75" s="115">
        <f t="shared" si="5"/>
        <v>0.79726027397260268</v>
      </c>
      <c r="F75" s="115">
        <f t="shared" si="6"/>
        <v>0.2</v>
      </c>
    </row>
    <row r="76" spans="1:6" x14ac:dyDescent="0.2">
      <c r="A76" s="128">
        <v>42079</v>
      </c>
      <c r="C76">
        <f t="shared" si="7"/>
        <v>74</v>
      </c>
      <c r="D76">
        <f t="shared" si="4"/>
        <v>290</v>
      </c>
      <c r="E76" s="115">
        <f t="shared" si="5"/>
        <v>0.79452054794520544</v>
      </c>
      <c r="F76" s="115">
        <f t="shared" si="6"/>
        <v>0.20273972602739726</v>
      </c>
    </row>
    <row r="77" spans="1:6" x14ac:dyDescent="0.2">
      <c r="A77" s="128">
        <v>42080</v>
      </c>
      <c r="C77">
        <f t="shared" si="7"/>
        <v>75</v>
      </c>
      <c r="D77">
        <f t="shared" si="4"/>
        <v>289</v>
      </c>
      <c r="E77" s="115">
        <f t="shared" si="5"/>
        <v>0.79178082191780819</v>
      </c>
      <c r="F77" s="115">
        <f t="shared" si="6"/>
        <v>0.20547945205479451</v>
      </c>
    </row>
    <row r="78" spans="1:6" x14ac:dyDescent="0.2">
      <c r="A78" s="128">
        <v>42081</v>
      </c>
      <c r="C78">
        <f t="shared" si="7"/>
        <v>76</v>
      </c>
      <c r="D78">
        <f t="shared" si="4"/>
        <v>288</v>
      </c>
      <c r="E78" s="115">
        <f t="shared" si="5"/>
        <v>0.78904109589041094</v>
      </c>
      <c r="F78" s="115">
        <f t="shared" si="6"/>
        <v>0.20821917808219179</v>
      </c>
    </row>
    <row r="79" spans="1:6" x14ac:dyDescent="0.2">
      <c r="A79" s="128">
        <v>42082</v>
      </c>
      <c r="C79">
        <f t="shared" si="7"/>
        <v>77</v>
      </c>
      <c r="D79">
        <f t="shared" si="4"/>
        <v>287</v>
      </c>
      <c r="E79" s="115">
        <f t="shared" si="5"/>
        <v>0.78630136986301369</v>
      </c>
      <c r="F79" s="115">
        <f t="shared" si="6"/>
        <v>0.21095890410958903</v>
      </c>
    </row>
    <row r="80" spans="1:6" x14ac:dyDescent="0.2">
      <c r="A80" s="128">
        <v>42083</v>
      </c>
      <c r="C80">
        <f t="shared" si="7"/>
        <v>78</v>
      </c>
      <c r="D80">
        <f t="shared" si="4"/>
        <v>286</v>
      </c>
      <c r="E80" s="115">
        <f t="shared" si="5"/>
        <v>0.78356164383561644</v>
      </c>
      <c r="F80" s="115">
        <f t="shared" si="6"/>
        <v>0.21369863013698631</v>
      </c>
    </row>
    <row r="81" spans="1:6" x14ac:dyDescent="0.2">
      <c r="A81" s="128">
        <v>42084</v>
      </c>
      <c r="C81">
        <f t="shared" si="7"/>
        <v>79</v>
      </c>
      <c r="D81">
        <f t="shared" si="4"/>
        <v>285</v>
      </c>
      <c r="E81" s="115">
        <f t="shared" si="5"/>
        <v>0.78082191780821919</v>
      </c>
      <c r="F81" s="115">
        <f t="shared" si="6"/>
        <v>0.21643835616438356</v>
      </c>
    </row>
    <row r="82" spans="1:6" x14ac:dyDescent="0.2">
      <c r="A82" s="128">
        <v>42085</v>
      </c>
      <c r="C82">
        <f t="shared" si="7"/>
        <v>80</v>
      </c>
      <c r="D82">
        <f t="shared" si="4"/>
        <v>284</v>
      </c>
      <c r="E82" s="115">
        <f t="shared" si="5"/>
        <v>0.77808219178082194</v>
      </c>
      <c r="F82" s="115">
        <f t="shared" si="6"/>
        <v>0.21917808219178081</v>
      </c>
    </row>
    <row r="83" spans="1:6" x14ac:dyDescent="0.2">
      <c r="A83" s="128">
        <v>42086</v>
      </c>
      <c r="C83">
        <f t="shared" si="7"/>
        <v>81</v>
      </c>
      <c r="D83">
        <f t="shared" ref="D83:D90" si="8">_xlfn.DAYS(A$366,A83)</f>
        <v>283</v>
      </c>
      <c r="E83" s="115">
        <f t="shared" si="5"/>
        <v>0.77534246575342469</v>
      </c>
      <c r="F83" s="115">
        <f t="shared" si="6"/>
        <v>0.22191780821917809</v>
      </c>
    </row>
    <row r="84" spans="1:6" x14ac:dyDescent="0.2">
      <c r="A84" s="128">
        <v>42087</v>
      </c>
      <c r="C84">
        <f t="shared" si="7"/>
        <v>82</v>
      </c>
      <c r="D84">
        <f t="shared" si="8"/>
        <v>282</v>
      </c>
      <c r="E84" s="115">
        <f t="shared" si="5"/>
        <v>0.77260273972602744</v>
      </c>
      <c r="F84" s="115">
        <f t="shared" si="6"/>
        <v>0.22465753424657534</v>
      </c>
    </row>
    <row r="85" spans="1:6" x14ac:dyDescent="0.2">
      <c r="A85" s="128">
        <v>42088</v>
      </c>
      <c r="C85">
        <f t="shared" si="7"/>
        <v>83</v>
      </c>
      <c r="D85">
        <f t="shared" si="8"/>
        <v>281</v>
      </c>
      <c r="E85" s="115">
        <f t="shared" si="5"/>
        <v>0.76986301369863008</v>
      </c>
      <c r="F85" s="115">
        <f t="shared" si="6"/>
        <v>0.22739726027397261</v>
      </c>
    </row>
    <row r="86" spans="1:6" x14ac:dyDescent="0.2">
      <c r="A86" s="128">
        <v>42089</v>
      </c>
      <c r="C86">
        <f t="shared" si="7"/>
        <v>84</v>
      </c>
      <c r="D86">
        <f t="shared" si="8"/>
        <v>280</v>
      </c>
      <c r="E86" s="115">
        <f t="shared" si="5"/>
        <v>0.76712328767123283</v>
      </c>
      <c r="F86" s="115">
        <f t="shared" si="6"/>
        <v>0.23013698630136986</v>
      </c>
    </row>
    <row r="87" spans="1:6" x14ac:dyDescent="0.2">
      <c r="A87" s="128">
        <v>42090</v>
      </c>
      <c r="C87">
        <f t="shared" si="7"/>
        <v>85</v>
      </c>
      <c r="D87">
        <f t="shared" si="8"/>
        <v>279</v>
      </c>
      <c r="E87" s="115">
        <f t="shared" si="5"/>
        <v>0.76438356164383559</v>
      </c>
      <c r="F87" s="115">
        <f t="shared" si="6"/>
        <v>0.23287671232876711</v>
      </c>
    </row>
    <row r="88" spans="1:6" x14ac:dyDescent="0.2">
      <c r="A88" s="128">
        <v>42091</v>
      </c>
      <c r="C88">
        <f t="shared" si="7"/>
        <v>86</v>
      </c>
      <c r="D88">
        <f t="shared" si="8"/>
        <v>278</v>
      </c>
      <c r="E88" s="115">
        <f t="shared" si="5"/>
        <v>0.76164383561643834</v>
      </c>
      <c r="F88" s="115">
        <f t="shared" si="6"/>
        <v>0.23561643835616439</v>
      </c>
    </row>
    <row r="89" spans="1:6" x14ac:dyDescent="0.2">
      <c r="A89" s="128">
        <v>42092</v>
      </c>
      <c r="C89">
        <f t="shared" si="7"/>
        <v>87</v>
      </c>
      <c r="D89">
        <f t="shared" si="8"/>
        <v>277</v>
      </c>
      <c r="E89" s="115">
        <f t="shared" si="5"/>
        <v>0.75890410958904109</v>
      </c>
      <c r="F89" s="115">
        <f t="shared" si="6"/>
        <v>0.23835616438356164</v>
      </c>
    </row>
    <row r="90" spans="1:6" x14ac:dyDescent="0.2">
      <c r="A90" s="128">
        <v>42093</v>
      </c>
      <c r="C90">
        <f t="shared" si="7"/>
        <v>88</v>
      </c>
      <c r="D90">
        <f t="shared" si="8"/>
        <v>276</v>
      </c>
      <c r="E90" s="115">
        <f t="shared" si="5"/>
        <v>0.75616438356164384</v>
      </c>
      <c r="F90" s="115">
        <f t="shared" si="6"/>
        <v>0.24109589041095891</v>
      </c>
    </row>
    <row r="91" spans="1:6" x14ac:dyDescent="0.2">
      <c r="A91" s="128">
        <v>42094</v>
      </c>
      <c r="C91">
        <f t="shared" si="7"/>
        <v>89</v>
      </c>
      <c r="D91">
        <f>_xlfn.DAYS(A$366,A91)</f>
        <v>275</v>
      </c>
      <c r="E91" s="115">
        <f t="shared" si="5"/>
        <v>0.75342465753424659</v>
      </c>
      <c r="F91" s="115">
        <f t="shared" si="6"/>
        <v>0.24383561643835616</v>
      </c>
    </row>
    <row r="92" spans="1:6" x14ac:dyDescent="0.2">
      <c r="A92" s="128">
        <v>42095</v>
      </c>
      <c r="B92" t="s">
        <v>351</v>
      </c>
      <c r="C92">
        <f t="shared" si="7"/>
        <v>90</v>
      </c>
      <c r="D92">
        <f>_xlfn.DAYS(A$366,A92)</f>
        <v>274</v>
      </c>
      <c r="E92" s="115">
        <f>D92/365</f>
        <v>0.75068493150684934</v>
      </c>
      <c r="F92" s="115">
        <f t="shared" si="6"/>
        <v>0.24657534246575341</v>
      </c>
    </row>
    <row r="93" spans="1:6" x14ac:dyDescent="0.2">
      <c r="A93" s="128">
        <v>42096</v>
      </c>
      <c r="C93">
        <f t="shared" si="7"/>
        <v>91</v>
      </c>
      <c r="D93">
        <f t="shared" ref="D93:D156" si="9">_xlfn.DAYS(A$366,A93)</f>
        <v>273</v>
      </c>
      <c r="E93" s="115">
        <f t="shared" ref="E93:E156" si="10">D93/365</f>
        <v>0.74794520547945209</v>
      </c>
      <c r="F93" s="115">
        <f t="shared" si="6"/>
        <v>0.24931506849315069</v>
      </c>
    </row>
    <row r="94" spans="1:6" x14ac:dyDescent="0.2">
      <c r="A94" s="128">
        <v>42097</v>
      </c>
      <c r="C94">
        <f t="shared" si="7"/>
        <v>92</v>
      </c>
      <c r="D94">
        <f t="shared" si="9"/>
        <v>272</v>
      </c>
      <c r="E94" s="115">
        <f t="shared" si="10"/>
        <v>0.74520547945205484</v>
      </c>
      <c r="F94" s="115">
        <f t="shared" si="6"/>
        <v>0.25205479452054796</v>
      </c>
    </row>
    <row r="95" spans="1:6" x14ac:dyDescent="0.2">
      <c r="A95" s="128">
        <v>42098</v>
      </c>
      <c r="C95">
        <f t="shared" si="7"/>
        <v>93</v>
      </c>
      <c r="D95">
        <f t="shared" si="9"/>
        <v>271</v>
      </c>
      <c r="E95" s="115">
        <f t="shared" si="10"/>
        <v>0.74246575342465748</v>
      </c>
      <c r="F95" s="115">
        <f t="shared" si="6"/>
        <v>0.25479452054794521</v>
      </c>
    </row>
    <row r="96" spans="1:6" x14ac:dyDescent="0.2">
      <c r="A96" s="128">
        <v>42099</v>
      </c>
      <c r="C96">
        <f t="shared" si="7"/>
        <v>94</v>
      </c>
      <c r="D96">
        <f t="shared" si="9"/>
        <v>270</v>
      </c>
      <c r="E96" s="115">
        <f t="shared" si="10"/>
        <v>0.73972602739726023</v>
      </c>
      <c r="F96" s="115">
        <f t="shared" si="6"/>
        <v>0.25753424657534246</v>
      </c>
    </row>
    <row r="97" spans="1:6" x14ac:dyDescent="0.2">
      <c r="A97" s="128">
        <v>42100</v>
      </c>
      <c r="C97">
        <f t="shared" si="7"/>
        <v>95</v>
      </c>
      <c r="D97">
        <f t="shared" si="9"/>
        <v>269</v>
      </c>
      <c r="E97" s="115">
        <f t="shared" si="10"/>
        <v>0.73698630136986298</v>
      </c>
      <c r="F97" s="115">
        <f t="shared" si="6"/>
        <v>0.26027397260273971</v>
      </c>
    </row>
    <row r="98" spans="1:6" x14ac:dyDescent="0.2">
      <c r="A98" s="128">
        <v>42101</v>
      </c>
      <c r="C98">
        <f t="shared" si="7"/>
        <v>96</v>
      </c>
      <c r="D98">
        <f t="shared" si="9"/>
        <v>268</v>
      </c>
      <c r="E98" s="115">
        <f t="shared" si="10"/>
        <v>0.73424657534246573</v>
      </c>
      <c r="F98" s="115">
        <f t="shared" si="6"/>
        <v>0.26301369863013696</v>
      </c>
    </row>
    <row r="99" spans="1:6" x14ac:dyDescent="0.2">
      <c r="A99" s="128">
        <v>42102</v>
      </c>
      <c r="C99">
        <f t="shared" si="7"/>
        <v>97</v>
      </c>
      <c r="D99">
        <f t="shared" si="9"/>
        <v>267</v>
      </c>
      <c r="E99" s="115">
        <f t="shared" si="10"/>
        <v>0.73150684931506849</v>
      </c>
      <c r="F99" s="115">
        <f t="shared" si="6"/>
        <v>0.26575342465753427</v>
      </c>
    </row>
    <row r="100" spans="1:6" x14ac:dyDescent="0.2">
      <c r="A100" s="128">
        <v>42103</v>
      </c>
      <c r="C100">
        <f t="shared" si="7"/>
        <v>98</v>
      </c>
      <c r="D100">
        <f t="shared" si="9"/>
        <v>266</v>
      </c>
      <c r="E100" s="115">
        <f t="shared" si="10"/>
        <v>0.72876712328767124</v>
      </c>
      <c r="F100" s="115">
        <f t="shared" si="6"/>
        <v>0.26849315068493151</v>
      </c>
    </row>
    <row r="101" spans="1:6" x14ac:dyDescent="0.2">
      <c r="A101" s="128">
        <v>42104</v>
      </c>
      <c r="C101">
        <f t="shared" si="7"/>
        <v>99</v>
      </c>
      <c r="D101">
        <f t="shared" si="9"/>
        <v>265</v>
      </c>
      <c r="E101" s="115">
        <f t="shared" si="10"/>
        <v>0.72602739726027399</v>
      </c>
      <c r="F101" s="115">
        <f t="shared" si="6"/>
        <v>0.27123287671232876</v>
      </c>
    </row>
    <row r="102" spans="1:6" x14ac:dyDescent="0.2">
      <c r="A102" s="128">
        <v>42105</v>
      </c>
      <c r="C102">
        <f t="shared" si="7"/>
        <v>100</v>
      </c>
      <c r="D102">
        <f t="shared" si="9"/>
        <v>264</v>
      </c>
      <c r="E102" s="115">
        <f t="shared" si="10"/>
        <v>0.72328767123287674</v>
      </c>
      <c r="F102" s="115">
        <f t="shared" si="6"/>
        <v>0.27397260273972601</v>
      </c>
    </row>
    <row r="103" spans="1:6" x14ac:dyDescent="0.2">
      <c r="A103" s="128">
        <v>42106</v>
      </c>
      <c r="C103">
        <f t="shared" si="7"/>
        <v>101</v>
      </c>
      <c r="D103">
        <f t="shared" si="9"/>
        <v>263</v>
      </c>
      <c r="E103" s="115">
        <f t="shared" si="10"/>
        <v>0.72054794520547949</v>
      </c>
      <c r="F103" s="115">
        <f t="shared" si="6"/>
        <v>0.27671232876712326</v>
      </c>
    </row>
    <row r="104" spans="1:6" x14ac:dyDescent="0.2">
      <c r="A104" s="128">
        <v>42107</v>
      </c>
      <c r="C104">
        <f t="shared" si="7"/>
        <v>102</v>
      </c>
      <c r="D104">
        <f t="shared" si="9"/>
        <v>262</v>
      </c>
      <c r="E104" s="115">
        <f t="shared" si="10"/>
        <v>0.71780821917808224</v>
      </c>
      <c r="F104" s="115">
        <f t="shared" si="6"/>
        <v>0.27945205479452057</v>
      </c>
    </row>
    <row r="105" spans="1:6" x14ac:dyDescent="0.2">
      <c r="A105" s="128">
        <v>42108</v>
      </c>
      <c r="C105">
        <f t="shared" si="7"/>
        <v>103</v>
      </c>
      <c r="D105">
        <f t="shared" si="9"/>
        <v>261</v>
      </c>
      <c r="E105" s="115">
        <f t="shared" si="10"/>
        <v>0.71506849315068488</v>
      </c>
      <c r="F105" s="115">
        <f t="shared" si="6"/>
        <v>0.28219178082191781</v>
      </c>
    </row>
    <row r="106" spans="1:6" x14ac:dyDescent="0.2">
      <c r="A106" s="128">
        <v>42109</v>
      </c>
      <c r="C106">
        <f t="shared" si="7"/>
        <v>104</v>
      </c>
      <c r="D106">
        <f t="shared" si="9"/>
        <v>260</v>
      </c>
      <c r="E106" s="115">
        <f t="shared" si="10"/>
        <v>0.71232876712328763</v>
      </c>
      <c r="F106" s="115">
        <f t="shared" si="6"/>
        <v>0.28493150684931506</v>
      </c>
    </row>
    <row r="107" spans="1:6" x14ac:dyDescent="0.2">
      <c r="A107" s="128">
        <v>42110</v>
      </c>
      <c r="C107">
        <f t="shared" si="7"/>
        <v>105</v>
      </c>
      <c r="D107">
        <f t="shared" si="9"/>
        <v>259</v>
      </c>
      <c r="E107" s="115">
        <f t="shared" si="10"/>
        <v>0.70958904109589038</v>
      </c>
      <c r="F107" s="115">
        <f t="shared" si="6"/>
        <v>0.28767123287671231</v>
      </c>
    </row>
    <row r="108" spans="1:6" x14ac:dyDescent="0.2">
      <c r="A108" s="128">
        <v>42111</v>
      </c>
      <c r="C108">
        <f t="shared" si="7"/>
        <v>106</v>
      </c>
      <c r="D108">
        <f t="shared" si="9"/>
        <v>258</v>
      </c>
      <c r="E108" s="115">
        <f t="shared" si="10"/>
        <v>0.70684931506849313</v>
      </c>
      <c r="F108" s="115">
        <f t="shared" si="6"/>
        <v>0.29041095890410956</v>
      </c>
    </row>
    <row r="109" spans="1:6" x14ac:dyDescent="0.2">
      <c r="A109" s="128">
        <v>42112</v>
      </c>
      <c r="C109">
        <f t="shared" si="7"/>
        <v>107</v>
      </c>
      <c r="D109">
        <f t="shared" si="9"/>
        <v>257</v>
      </c>
      <c r="E109" s="115">
        <f t="shared" si="10"/>
        <v>0.70410958904109588</v>
      </c>
      <c r="F109" s="115">
        <f t="shared" si="6"/>
        <v>0.29315068493150687</v>
      </c>
    </row>
    <row r="110" spans="1:6" x14ac:dyDescent="0.2">
      <c r="A110" s="128">
        <v>42113</v>
      </c>
      <c r="C110">
        <f t="shared" si="7"/>
        <v>108</v>
      </c>
      <c r="D110">
        <f t="shared" si="9"/>
        <v>256</v>
      </c>
      <c r="E110" s="115">
        <f t="shared" si="10"/>
        <v>0.70136986301369864</v>
      </c>
      <c r="F110" s="115">
        <f t="shared" si="6"/>
        <v>0.29589041095890412</v>
      </c>
    </row>
    <row r="111" spans="1:6" x14ac:dyDescent="0.2">
      <c r="A111" s="128">
        <v>42114</v>
      </c>
      <c r="C111">
        <f t="shared" si="7"/>
        <v>109</v>
      </c>
      <c r="D111">
        <f t="shared" si="9"/>
        <v>255</v>
      </c>
      <c r="E111" s="115">
        <f t="shared" si="10"/>
        <v>0.69863013698630139</v>
      </c>
      <c r="F111" s="115">
        <f t="shared" si="6"/>
        <v>0.29863013698630136</v>
      </c>
    </row>
    <row r="112" spans="1:6" x14ac:dyDescent="0.2">
      <c r="A112" s="128">
        <v>42115</v>
      </c>
      <c r="C112">
        <f t="shared" si="7"/>
        <v>110</v>
      </c>
      <c r="D112">
        <f t="shared" si="9"/>
        <v>254</v>
      </c>
      <c r="E112" s="115">
        <f t="shared" si="10"/>
        <v>0.69589041095890414</v>
      </c>
      <c r="F112" s="115">
        <f t="shared" si="6"/>
        <v>0.30136986301369861</v>
      </c>
    </row>
    <row r="113" spans="1:6" x14ac:dyDescent="0.2">
      <c r="A113" s="128">
        <v>42116</v>
      </c>
      <c r="C113">
        <f t="shared" si="7"/>
        <v>111</v>
      </c>
      <c r="D113">
        <f t="shared" si="9"/>
        <v>253</v>
      </c>
      <c r="E113" s="115">
        <f t="shared" si="10"/>
        <v>0.69315068493150689</v>
      </c>
      <c r="F113" s="115">
        <f t="shared" si="6"/>
        <v>0.30410958904109592</v>
      </c>
    </row>
    <row r="114" spans="1:6" x14ac:dyDescent="0.2">
      <c r="A114" s="128">
        <v>42117</v>
      </c>
      <c r="C114">
        <f t="shared" si="7"/>
        <v>112</v>
      </c>
      <c r="D114">
        <f t="shared" si="9"/>
        <v>252</v>
      </c>
      <c r="E114" s="115">
        <f t="shared" si="10"/>
        <v>0.69041095890410964</v>
      </c>
      <c r="F114" s="115">
        <f t="shared" si="6"/>
        <v>0.30684931506849317</v>
      </c>
    </row>
    <row r="115" spans="1:6" x14ac:dyDescent="0.2">
      <c r="A115" s="128">
        <v>42118</v>
      </c>
      <c r="C115">
        <f t="shared" si="7"/>
        <v>113</v>
      </c>
      <c r="D115">
        <f t="shared" si="9"/>
        <v>251</v>
      </c>
      <c r="E115" s="115">
        <f t="shared" si="10"/>
        <v>0.68767123287671228</v>
      </c>
      <c r="F115" s="115">
        <f t="shared" si="6"/>
        <v>0.30958904109589042</v>
      </c>
    </row>
    <row r="116" spans="1:6" x14ac:dyDescent="0.2">
      <c r="A116" s="128">
        <v>42119</v>
      </c>
      <c r="C116">
        <f t="shared" si="7"/>
        <v>114</v>
      </c>
      <c r="D116">
        <f t="shared" si="9"/>
        <v>250</v>
      </c>
      <c r="E116" s="115">
        <f t="shared" si="10"/>
        <v>0.68493150684931503</v>
      </c>
      <c r="F116" s="115">
        <f t="shared" si="6"/>
        <v>0.31232876712328766</v>
      </c>
    </row>
    <row r="117" spans="1:6" x14ac:dyDescent="0.2">
      <c r="A117" s="128">
        <v>42120</v>
      </c>
      <c r="C117">
        <f t="shared" si="7"/>
        <v>115</v>
      </c>
      <c r="D117">
        <f t="shared" si="9"/>
        <v>249</v>
      </c>
      <c r="E117" s="115">
        <f t="shared" si="10"/>
        <v>0.68219178082191778</v>
      </c>
      <c r="F117" s="115">
        <f t="shared" si="6"/>
        <v>0.31506849315068491</v>
      </c>
    </row>
    <row r="118" spans="1:6" x14ac:dyDescent="0.2">
      <c r="A118" s="128">
        <v>42121</v>
      </c>
      <c r="C118">
        <f t="shared" si="7"/>
        <v>116</v>
      </c>
      <c r="D118">
        <f t="shared" si="9"/>
        <v>248</v>
      </c>
      <c r="E118" s="115">
        <f t="shared" si="10"/>
        <v>0.67945205479452053</v>
      </c>
      <c r="F118" s="115">
        <f t="shared" si="6"/>
        <v>0.31780821917808222</v>
      </c>
    </row>
    <row r="119" spans="1:6" x14ac:dyDescent="0.2">
      <c r="A119" s="128">
        <v>42122</v>
      </c>
      <c r="C119">
        <f t="shared" si="7"/>
        <v>117</v>
      </c>
      <c r="D119">
        <f t="shared" si="9"/>
        <v>247</v>
      </c>
      <c r="E119" s="115">
        <f t="shared" si="10"/>
        <v>0.67671232876712328</v>
      </c>
      <c r="F119" s="115">
        <f t="shared" si="6"/>
        <v>0.32054794520547947</v>
      </c>
    </row>
    <row r="120" spans="1:6" x14ac:dyDescent="0.2">
      <c r="A120" s="128">
        <v>42123</v>
      </c>
      <c r="C120">
        <f t="shared" si="7"/>
        <v>118</v>
      </c>
      <c r="D120">
        <f t="shared" si="9"/>
        <v>246</v>
      </c>
      <c r="E120" s="115">
        <f t="shared" si="10"/>
        <v>0.67397260273972603</v>
      </c>
      <c r="F120" s="115">
        <f t="shared" si="6"/>
        <v>0.32328767123287672</v>
      </c>
    </row>
    <row r="121" spans="1:6" x14ac:dyDescent="0.2">
      <c r="A121" s="128">
        <v>42124</v>
      </c>
      <c r="C121">
        <f t="shared" si="7"/>
        <v>119</v>
      </c>
      <c r="D121">
        <f t="shared" si="9"/>
        <v>245</v>
      </c>
      <c r="E121" s="115">
        <f t="shared" si="10"/>
        <v>0.67123287671232879</v>
      </c>
      <c r="F121" s="115">
        <f t="shared" si="6"/>
        <v>0.32602739726027397</v>
      </c>
    </row>
    <row r="122" spans="1:6" x14ac:dyDescent="0.2">
      <c r="A122" s="128">
        <v>42125</v>
      </c>
      <c r="C122">
        <f t="shared" si="7"/>
        <v>120</v>
      </c>
      <c r="D122">
        <f t="shared" si="9"/>
        <v>244</v>
      </c>
      <c r="E122" s="115">
        <f t="shared" si="10"/>
        <v>0.66849315068493154</v>
      </c>
      <c r="F122" s="115">
        <f t="shared" si="6"/>
        <v>0.32876712328767121</v>
      </c>
    </row>
    <row r="123" spans="1:6" x14ac:dyDescent="0.2">
      <c r="A123" s="128">
        <v>42126</v>
      </c>
      <c r="C123">
        <f t="shared" si="7"/>
        <v>121</v>
      </c>
      <c r="D123">
        <f t="shared" si="9"/>
        <v>243</v>
      </c>
      <c r="E123" s="115">
        <f t="shared" si="10"/>
        <v>0.66575342465753429</v>
      </c>
      <c r="F123" s="115">
        <f t="shared" si="6"/>
        <v>0.33150684931506852</v>
      </c>
    </row>
    <row r="124" spans="1:6" x14ac:dyDescent="0.2">
      <c r="A124" s="128">
        <v>42127</v>
      </c>
      <c r="C124">
        <f t="shared" si="7"/>
        <v>122</v>
      </c>
      <c r="D124">
        <f t="shared" si="9"/>
        <v>242</v>
      </c>
      <c r="E124" s="115">
        <f t="shared" si="10"/>
        <v>0.66301369863013704</v>
      </c>
      <c r="F124" s="115">
        <f t="shared" si="6"/>
        <v>0.33424657534246577</v>
      </c>
    </row>
    <row r="125" spans="1:6" x14ac:dyDescent="0.2">
      <c r="A125" s="128">
        <v>42128</v>
      </c>
      <c r="C125">
        <f t="shared" si="7"/>
        <v>123</v>
      </c>
      <c r="D125">
        <f t="shared" si="9"/>
        <v>241</v>
      </c>
      <c r="E125" s="115">
        <f t="shared" si="10"/>
        <v>0.66027397260273968</v>
      </c>
      <c r="F125" s="115">
        <f t="shared" si="6"/>
        <v>0.33698630136986302</v>
      </c>
    </row>
    <row r="126" spans="1:6" x14ac:dyDescent="0.2">
      <c r="A126" s="128">
        <v>42129</v>
      </c>
      <c r="C126">
        <f t="shared" si="7"/>
        <v>124</v>
      </c>
      <c r="D126">
        <f t="shared" si="9"/>
        <v>240</v>
      </c>
      <c r="E126" s="115">
        <f t="shared" si="10"/>
        <v>0.65753424657534243</v>
      </c>
      <c r="F126" s="115">
        <f t="shared" si="6"/>
        <v>0.33972602739726027</v>
      </c>
    </row>
    <row r="127" spans="1:6" x14ac:dyDescent="0.2">
      <c r="A127" s="128">
        <v>42130</v>
      </c>
      <c r="C127">
        <f t="shared" si="7"/>
        <v>125</v>
      </c>
      <c r="D127">
        <f t="shared" si="9"/>
        <v>239</v>
      </c>
      <c r="E127" s="115">
        <f t="shared" si="10"/>
        <v>0.65479452054794518</v>
      </c>
      <c r="F127" s="115">
        <f t="shared" si="6"/>
        <v>0.34246575342465752</v>
      </c>
    </row>
    <row r="128" spans="1:6" x14ac:dyDescent="0.2">
      <c r="A128" s="128">
        <v>42131</v>
      </c>
      <c r="C128">
        <f t="shared" si="7"/>
        <v>126</v>
      </c>
      <c r="D128">
        <f t="shared" si="9"/>
        <v>238</v>
      </c>
      <c r="E128" s="115">
        <f t="shared" si="10"/>
        <v>0.65205479452054793</v>
      </c>
      <c r="F128" s="115">
        <f t="shared" si="6"/>
        <v>0.34520547945205482</v>
      </c>
    </row>
    <row r="129" spans="1:6" x14ac:dyDescent="0.2">
      <c r="A129" s="128">
        <v>42132</v>
      </c>
      <c r="C129">
        <f t="shared" si="7"/>
        <v>127</v>
      </c>
      <c r="D129">
        <f t="shared" si="9"/>
        <v>237</v>
      </c>
      <c r="E129" s="115">
        <f t="shared" si="10"/>
        <v>0.64931506849315068</v>
      </c>
      <c r="F129" s="115">
        <f t="shared" si="6"/>
        <v>0.34794520547945207</v>
      </c>
    </row>
    <row r="130" spans="1:6" x14ac:dyDescent="0.2">
      <c r="A130" s="128">
        <v>42133</v>
      </c>
      <c r="C130">
        <f t="shared" si="7"/>
        <v>128</v>
      </c>
      <c r="D130">
        <f t="shared" si="9"/>
        <v>236</v>
      </c>
      <c r="E130" s="115">
        <f t="shared" si="10"/>
        <v>0.64657534246575343</v>
      </c>
      <c r="F130" s="115">
        <f t="shared" si="6"/>
        <v>0.35068493150684932</v>
      </c>
    </row>
    <row r="131" spans="1:6" x14ac:dyDescent="0.2">
      <c r="A131" s="128">
        <v>42134</v>
      </c>
      <c r="C131">
        <f t="shared" si="7"/>
        <v>129</v>
      </c>
      <c r="D131">
        <f t="shared" si="9"/>
        <v>235</v>
      </c>
      <c r="E131" s="115">
        <f t="shared" si="10"/>
        <v>0.64383561643835618</v>
      </c>
      <c r="F131" s="115">
        <f t="shared" ref="F131:F194" si="11">C131/365</f>
        <v>0.35342465753424657</v>
      </c>
    </row>
    <row r="132" spans="1:6" x14ac:dyDescent="0.2">
      <c r="A132" s="128">
        <v>42135</v>
      </c>
      <c r="C132">
        <f t="shared" ref="C132:C195" si="12">_xlfn.DAYS(A132,A$2)</f>
        <v>130</v>
      </c>
      <c r="D132">
        <f t="shared" si="9"/>
        <v>234</v>
      </c>
      <c r="E132" s="115">
        <f t="shared" si="10"/>
        <v>0.64109589041095894</v>
      </c>
      <c r="F132" s="115">
        <f t="shared" si="11"/>
        <v>0.35616438356164382</v>
      </c>
    </row>
    <row r="133" spans="1:6" x14ac:dyDescent="0.2">
      <c r="A133" s="128">
        <v>42136</v>
      </c>
      <c r="C133">
        <f t="shared" si="12"/>
        <v>131</v>
      </c>
      <c r="D133">
        <f t="shared" si="9"/>
        <v>233</v>
      </c>
      <c r="E133" s="115">
        <f t="shared" si="10"/>
        <v>0.63835616438356169</v>
      </c>
      <c r="F133" s="115">
        <f t="shared" si="11"/>
        <v>0.35890410958904112</v>
      </c>
    </row>
    <row r="134" spans="1:6" x14ac:dyDescent="0.2">
      <c r="A134" s="128">
        <v>42137</v>
      </c>
      <c r="C134">
        <f t="shared" si="12"/>
        <v>132</v>
      </c>
      <c r="D134">
        <f t="shared" si="9"/>
        <v>232</v>
      </c>
      <c r="E134" s="115">
        <f t="shared" si="10"/>
        <v>0.63561643835616444</v>
      </c>
      <c r="F134" s="115">
        <f t="shared" si="11"/>
        <v>0.36164383561643837</v>
      </c>
    </row>
    <row r="135" spans="1:6" x14ac:dyDescent="0.2">
      <c r="A135" s="128">
        <v>42138</v>
      </c>
      <c r="C135">
        <f t="shared" si="12"/>
        <v>133</v>
      </c>
      <c r="D135">
        <f t="shared" si="9"/>
        <v>231</v>
      </c>
      <c r="E135" s="115">
        <f t="shared" si="10"/>
        <v>0.63287671232876708</v>
      </c>
      <c r="F135" s="115">
        <f t="shared" si="11"/>
        <v>0.36438356164383562</v>
      </c>
    </row>
    <row r="136" spans="1:6" x14ac:dyDescent="0.2">
      <c r="A136" s="128">
        <v>42139</v>
      </c>
      <c r="C136">
        <f t="shared" si="12"/>
        <v>134</v>
      </c>
      <c r="D136">
        <f t="shared" si="9"/>
        <v>230</v>
      </c>
      <c r="E136" s="115">
        <f t="shared" si="10"/>
        <v>0.63013698630136983</v>
      </c>
      <c r="F136" s="115">
        <f t="shared" si="11"/>
        <v>0.36712328767123287</v>
      </c>
    </row>
    <row r="137" spans="1:6" x14ac:dyDescent="0.2">
      <c r="A137" s="128">
        <v>42140</v>
      </c>
      <c r="C137">
        <f t="shared" si="12"/>
        <v>135</v>
      </c>
      <c r="D137">
        <f t="shared" si="9"/>
        <v>229</v>
      </c>
      <c r="E137" s="115">
        <f t="shared" si="10"/>
        <v>0.62739726027397258</v>
      </c>
      <c r="F137" s="115">
        <f t="shared" si="11"/>
        <v>0.36986301369863012</v>
      </c>
    </row>
    <row r="138" spans="1:6" x14ac:dyDescent="0.2">
      <c r="A138" s="128">
        <v>42141</v>
      </c>
      <c r="C138">
        <f t="shared" si="12"/>
        <v>136</v>
      </c>
      <c r="D138">
        <f t="shared" si="9"/>
        <v>228</v>
      </c>
      <c r="E138" s="115">
        <f t="shared" si="10"/>
        <v>0.62465753424657533</v>
      </c>
      <c r="F138" s="115">
        <f t="shared" si="11"/>
        <v>0.37260273972602742</v>
      </c>
    </row>
    <row r="139" spans="1:6" x14ac:dyDescent="0.2">
      <c r="A139" s="128">
        <v>42142</v>
      </c>
      <c r="C139">
        <f t="shared" si="12"/>
        <v>137</v>
      </c>
      <c r="D139">
        <f t="shared" si="9"/>
        <v>227</v>
      </c>
      <c r="E139" s="115">
        <f t="shared" si="10"/>
        <v>0.62191780821917808</v>
      </c>
      <c r="F139" s="115">
        <f t="shared" si="11"/>
        <v>0.37534246575342467</v>
      </c>
    </row>
    <row r="140" spans="1:6" x14ac:dyDescent="0.2">
      <c r="A140" s="128">
        <v>42143</v>
      </c>
      <c r="C140">
        <f t="shared" si="12"/>
        <v>138</v>
      </c>
      <c r="D140">
        <f t="shared" si="9"/>
        <v>226</v>
      </c>
      <c r="E140" s="115">
        <f t="shared" si="10"/>
        <v>0.61917808219178083</v>
      </c>
      <c r="F140" s="115">
        <f t="shared" si="11"/>
        <v>0.37808219178082192</v>
      </c>
    </row>
    <row r="141" spans="1:6" x14ac:dyDescent="0.2">
      <c r="A141" s="128">
        <v>42144</v>
      </c>
      <c r="C141">
        <f t="shared" si="12"/>
        <v>139</v>
      </c>
      <c r="D141">
        <f t="shared" si="9"/>
        <v>225</v>
      </c>
      <c r="E141" s="115">
        <f t="shared" si="10"/>
        <v>0.61643835616438358</v>
      </c>
      <c r="F141" s="115">
        <f t="shared" si="11"/>
        <v>0.38082191780821917</v>
      </c>
    </row>
    <row r="142" spans="1:6" x14ac:dyDescent="0.2">
      <c r="A142" s="128">
        <v>42145</v>
      </c>
      <c r="C142">
        <f t="shared" si="12"/>
        <v>140</v>
      </c>
      <c r="D142">
        <f t="shared" si="9"/>
        <v>224</v>
      </c>
      <c r="E142" s="115">
        <f t="shared" si="10"/>
        <v>0.61369863013698633</v>
      </c>
      <c r="F142" s="115">
        <f t="shared" si="11"/>
        <v>0.38356164383561642</v>
      </c>
    </row>
    <row r="143" spans="1:6" x14ac:dyDescent="0.2">
      <c r="A143" s="128">
        <v>42146</v>
      </c>
      <c r="C143">
        <f t="shared" si="12"/>
        <v>141</v>
      </c>
      <c r="D143">
        <f t="shared" si="9"/>
        <v>223</v>
      </c>
      <c r="E143" s="115">
        <f t="shared" si="10"/>
        <v>0.61095890410958908</v>
      </c>
      <c r="F143" s="115">
        <f t="shared" si="11"/>
        <v>0.38630136986301372</v>
      </c>
    </row>
    <row r="144" spans="1:6" x14ac:dyDescent="0.2">
      <c r="A144" s="128">
        <v>42147</v>
      </c>
      <c r="C144">
        <f t="shared" si="12"/>
        <v>142</v>
      </c>
      <c r="D144">
        <f t="shared" si="9"/>
        <v>222</v>
      </c>
      <c r="E144" s="115">
        <f t="shared" si="10"/>
        <v>0.60821917808219184</v>
      </c>
      <c r="F144" s="115">
        <f t="shared" si="11"/>
        <v>0.38904109589041097</v>
      </c>
    </row>
    <row r="145" spans="1:6" x14ac:dyDescent="0.2">
      <c r="A145" s="128">
        <v>42148</v>
      </c>
      <c r="C145">
        <f t="shared" si="12"/>
        <v>143</v>
      </c>
      <c r="D145">
        <f t="shared" si="9"/>
        <v>221</v>
      </c>
      <c r="E145" s="115">
        <f t="shared" si="10"/>
        <v>0.60547945205479448</v>
      </c>
      <c r="F145" s="115">
        <f t="shared" si="11"/>
        <v>0.39178082191780822</v>
      </c>
    </row>
    <row r="146" spans="1:6" x14ac:dyDescent="0.2">
      <c r="A146" s="128">
        <v>42149</v>
      </c>
      <c r="C146">
        <f t="shared" si="12"/>
        <v>144</v>
      </c>
      <c r="D146">
        <f t="shared" si="9"/>
        <v>220</v>
      </c>
      <c r="E146" s="115">
        <f t="shared" si="10"/>
        <v>0.60273972602739723</v>
      </c>
      <c r="F146" s="115">
        <f t="shared" si="11"/>
        <v>0.39452054794520547</v>
      </c>
    </row>
    <row r="147" spans="1:6" x14ac:dyDescent="0.2">
      <c r="A147" s="128">
        <v>42150</v>
      </c>
      <c r="C147">
        <f t="shared" si="12"/>
        <v>145</v>
      </c>
      <c r="D147">
        <f t="shared" si="9"/>
        <v>219</v>
      </c>
      <c r="E147" s="115">
        <f t="shared" si="10"/>
        <v>0.6</v>
      </c>
      <c r="F147" s="115">
        <f t="shared" si="11"/>
        <v>0.39726027397260272</v>
      </c>
    </row>
    <row r="148" spans="1:6" x14ac:dyDescent="0.2">
      <c r="A148" s="128">
        <v>42151</v>
      </c>
      <c r="C148">
        <f t="shared" si="12"/>
        <v>146</v>
      </c>
      <c r="D148">
        <f t="shared" si="9"/>
        <v>218</v>
      </c>
      <c r="E148" s="115">
        <f t="shared" si="10"/>
        <v>0.59726027397260273</v>
      </c>
      <c r="F148" s="115">
        <f t="shared" si="11"/>
        <v>0.4</v>
      </c>
    </row>
    <row r="149" spans="1:6" x14ac:dyDescent="0.2">
      <c r="A149" s="128">
        <v>42152</v>
      </c>
      <c r="C149">
        <f t="shared" si="12"/>
        <v>147</v>
      </c>
      <c r="D149">
        <f t="shared" si="9"/>
        <v>217</v>
      </c>
      <c r="E149" s="115">
        <f t="shared" si="10"/>
        <v>0.59452054794520548</v>
      </c>
      <c r="F149" s="115">
        <f t="shared" si="11"/>
        <v>0.40273972602739727</v>
      </c>
    </row>
    <row r="150" spans="1:6" x14ac:dyDescent="0.2">
      <c r="A150" s="128">
        <v>42153</v>
      </c>
      <c r="C150">
        <f t="shared" si="12"/>
        <v>148</v>
      </c>
      <c r="D150">
        <f t="shared" si="9"/>
        <v>216</v>
      </c>
      <c r="E150" s="115">
        <f t="shared" si="10"/>
        <v>0.59178082191780823</v>
      </c>
      <c r="F150" s="115">
        <f t="shared" si="11"/>
        <v>0.40547945205479452</v>
      </c>
    </row>
    <row r="151" spans="1:6" x14ac:dyDescent="0.2">
      <c r="A151" s="128">
        <v>42154</v>
      </c>
      <c r="C151">
        <f t="shared" si="12"/>
        <v>149</v>
      </c>
      <c r="D151">
        <f t="shared" si="9"/>
        <v>215</v>
      </c>
      <c r="E151" s="115">
        <f t="shared" si="10"/>
        <v>0.58904109589041098</v>
      </c>
      <c r="F151" s="115">
        <f t="shared" si="11"/>
        <v>0.40821917808219177</v>
      </c>
    </row>
    <row r="152" spans="1:6" x14ac:dyDescent="0.2">
      <c r="A152" s="128">
        <v>42155</v>
      </c>
      <c r="C152">
        <f t="shared" si="12"/>
        <v>150</v>
      </c>
      <c r="D152">
        <f t="shared" si="9"/>
        <v>214</v>
      </c>
      <c r="E152" s="115">
        <f t="shared" si="10"/>
        <v>0.58630136986301373</v>
      </c>
      <c r="F152" s="115">
        <f t="shared" si="11"/>
        <v>0.41095890410958902</v>
      </c>
    </row>
    <row r="153" spans="1:6" x14ac:dyDescent="0.2">
      <c r="A153" s="128">
        <v>42156</v>
      </c>
      <c r="C153">
        <f t="shared" si="12"/>
        <v>151</v>
      </c>
      <c r="D153">
        <f t="shared" si="9"/>
        <v>213</v>
      </c>
      <c r="E153" s="115">
        <f t="shared" si="10"/>
        <v>0.58356164383561648</v>
      </c>
      <c r="F153" s="115">
        <f t="shared" si="11"/>
        <v>0.41369863013698632</v>
      </c>
    </row>
    <row r="154" spans="1:6" x14ac:dyDescent="0.2">
      <c r="A154" s="128">
        <v>42157</v>
      </c>
      <c r="C154">
        <f t="shared" si="12"/>
        <v>152</v>
      </c>
      <c r="D154">
        <f t="shared" si="9"/>
        <v>212</v>
      </c>
      <c r="E154" s="115">
        <f t="shared" si="10"/>
        <v>0.58082191780821912</v>
      </c>
      <c r="F154" s="115">
        <f t="shared" si="11"/>
        <v>0.41643835616438357</v>
      </c>
    </row>
    <row r="155" spans="1:6" x14ac:dyDescent="0.2">
      <c r="A155" s="128">
        <v>42158</v>
      </c>
      <c r="C155">
        <f t="shared" si="12"/>
        <v>153</v>
      </c>
      <c r="D155">
        <f t="shared" si="9"/>
        <v>211</v>
      </c>
      <c r="E155" s="115">
        <f t="shared" si="10"/>
        <v>0.57808219178082187</v>
      </c>
      <c r="F155" s="115">
        <f t="shared" si="11"/>
        <v>0.41917808219178082</v>
      </c>
    </row>
    <row r="156" spans="1:6" x14ac:dyDescent="0.2">
      <c r="A156" s="128">
        <v>42159</v>
      </c>
      <c r="C156">
        <f t="shared" si="12"/>
        <v>154</v>
      </c>
      <c r="D156">
        <f t="shared" si="9"/>
        <v>210</v>
      </c>
      <c r="E156" s="115">
        <f t="shared" si="10"/>
        <v>0.57534246575342463</v>
      </c>
      <c r="F156" s="115">
        <f t="shared" si="11"/>
        <v>0.42191780821917807</v>
      </c>
    </row>
    <row r="157" spans="1:6" x14ac:dyDescent="0.2">
      <c r="A157" s="128">
        <v>42160</v>
      </c>
      <c r="C157">
        <f t="shared" si="12"/>
        <v>155</v>
      </c>
      <c r="D157">
        <f t="shared" ref="D157:D220" si="13">_xlfn.DAYS(A$366,A157)</f>
        <v>209</v>
      </c>
      <c r="E157" s="115">
        <f t="shared" ref="E157:E220" si="14">D157/365</f>
        <v>0.57260273972602738</v>
      </c>
      <c r="F157" s="115">
        <f t="shared" si="11"/>
        <v>0.42465753424657532</v>
      </c>
    </row>
    <row r="158" spans="1:6" x14ac:dyDescent="0.2">
      <c r="A158" s="128">
        <v>42161</v>
      </c>
      <c r="C158">
        <f t="shared" si="12"/>
        <v>156</v>
      </c>
      <c r="D158">
        <f t="shared" si="13"/>
        <v>208</v>
      </c>
      <c r="E158" s="115">
        <f t="shared" si="14"/>
        <v>0.56986301369863013</v>
      </c>
      <c r="F158" s="115">
        <f t="shared" si="11"/>
        <v>0.42739726027397262</v>
      </c>
    </row>
    <row r="159" spans="1:6" x14ac:dyDescent="0.2">
      <c r="A159" s="128">
        <v>42162</v>
      </c>
      <c r="C159">
        <f t="shared" si="12"/>
        <v>157</v>
      </c>
      <c r="D159">
        <f t="shared" si="13"/>
        <v>207</v>
      </c>
      <c r="E159" s="115">
        <f t="shared" si="14"/>
        <v>0.56712328767123288</v>
      </c>
      <c r="F159" s="115">
        <f t="shared" si="11"/>
        <v>0.43013698630136987</v>
      </c>
    </row>
    <row r="160" spans="1:6" x14ac:dyDescent="0.2">
      <c r="A160" s="128">
        <v>42163</v>
      </c>
      <c r="C160">
        <f t="shared" si="12"/>
        <v>158</v>
      </c>
      <c r="D160">
        <f t="shared" si="13"/>
        <v>206</v>
      </c>
      <c r="E160" s="115">
        <f t="shared" si="14"/>
        <v>0.56438356164383563</v>
      </c>
      <c r="F160" s="115">
        <f t="shared" si="11"/>
        <v>0.43287671232876712</v>
      </c>
    </row>
    <row r="161" spans="1:6" x14ac:dyDescent="0.2">
      <c r="A161" s="128">
        <v>42164</v>
      </c>
      <c r="C161">
        <f t="shared" si="12"/>
        <v>159</v>
      </c>
      <c r="D161">
        <f t="shared" si="13"/>
        <v>205</v>
      </c>
      <c r="E161" s="115">
        <f t="shared" si="14"/>
        <v>0.56164383561643838</v>
      </c>
      <c r="F161" s="115">
        <f t="shared" si="11"/>
        <v>0.43561643835616437</v>
      </c>
    </row>
    <row r="162" spans="1:6" x14ac:dyDescent="0.2">
      <c r="A162" s="128">
        <v>42165</v>
      </c>
      <c r="C162">
        <f t="shared" si="12"/>
        <v>160</v>
      </c>
      <c r="D162">
        <f t="shared" si="13"/>
        <v>204</v>
      </c>
      <c r="E162" s="115">
        <f t="shared" si="14"/>
        <v>0.55890410958904113</v>
      </c>
      <c r="F162" s="115">
        <f t="shared" si="11"/>
        <v>0.43835616438356162</v>
      </c>
    </row>
    <row r="163" spans="1:6" x14ac:dyDescent="0.2">
      <c r="A163" s="128">
        <v>42166</v>
      </c>
      <c r="C163">
        <f t="shared" si="12"/>
        <v>161</v>
      </c>
      <c r="D163">
        <f t="shared" si="13"/>
        <v>203</v>
      </c>
      <c r="E163" s="115">
        <f t="shared" si="14"/>
        <v>0.55616438356164388</v>
      </c>
      <c r="F163" s="115">
        <f t="shared" si="11"/>
        <v>0.44109589041095892</v>
      </c>
    </row>
    <row r="164" spans="1:6" x14ac:dyDescent="0.2">
      <c r="A164" s="128">
        <v>42167</v>
      </c>
      <c r="C164">
        <f t="shared" si="12"/>
        <v>162</v>
      </c>
      <c r="D164">
        <f t="shared" si="13"/>
        <v>202</v>
      </c>
      <c r="E164" s="115">
        <f t="shared" si="14"/>
        <v>0.55342465753424652</v>
      </c>
      <c r="F164" s="115">
        <f t="shared" si="11"/>
        <v>0.44383561643835617</v>
      </c>
    </row>
    <row r="165" spans="1:6" x14ac:dyDescent="0.2">
      <c r="A165" s="128">
        <v>42168</v>
      </c>
      <c r="C165">
        <f t="shared" si="12"/>
        <v>163</v>
      </c>
      <c r="D165">
        <f t="shared" si="13"/>
        <v>201</v>
      </c>
      <c r="E165" s="115">
        <f t="shared" si="14"/>
        <v>0.55068493150684927</v>
      </c>
      <c r="F165" s="115">
        <f t="shared" si="11"/>
        <v>0.44657534246575342</v>
      </c>
    </row>
    <row r="166" spans="1:6" x14ac:dyDescent="0.2">
      <c r="A166" s="128">
        <v>42169</v>
      </c>
      <c r="C166">
        <f t="shared" si="12"/>
        <v>164</v>
      </c>
      <c r="D166">
        <f t="shared" si="13"/>
        <v>200</v>
      </c>
      <c r="E166" s="115">
        <f t="shared" si="14"/>
        <v>0.54794520547945202</v>
      </c>
      <c r="F166" s="115">
        <f t="shared" si="11"/>
        <v>0.44931506849315067</v>
      </c>
    </row>
    <row r="167" spans="1:6" x14ac:dyDescent="0.2">
      <c r="A167" s="128">
        <v>42170</v>
      </c>
      <c r="C167">
        <f t="shared" si="12"/>
        <v>165</v>
      </c>
      <c r="D167">
        <f t="shared" si="13"/>
        <v>199</v>
      </c>
      <c r="E167" s="115">
        <f t="shared" si="14"/>
        <v>0.54520547945205478</v>
      </c>
      <c r="F167" s="115">
        <f t="shared" si="11"/>
        <v>0.45205479452054792</v>
      </c>
    </row>
    <row r="168" spans="1:6" x14ac:dyDescent="0.2">
      <c r="A168" s="128">
        <v>42171</v>
      </c>
      <c r="C168">
        <f t="shared" si="12"/>
        <v>166</v>
      </c>
      <c r="D168">
        <f t="shared" si="13"/>
        <v>198</v>
      </c>
      <c r="E168" s="115">
        <f t="shared" si="14"/>
        <v>0.54246575342465753</v>
      </c>
      <c r="F168" s="115">
        <f t="shared" si="11"/>
        <v>0.45479452054794522</v>
      </c>
    </row>
    <row r="169" spans="1:6" x14ac:dyDescent="0.2">
      <c r="A169" s="128">
        <v>42172</v>
      </c>
      <c r="C169">
        <f t="shared" si="12"/>
        <v>167</v>
      </c>
      <c r="D169">
        <f t="shared" si="13"/>
        <v>197</v>
      </c>
      <c r="E169" s="115">
        <f t="shared" si="14"/>
        <v>0.53972602739726028</v>
      </c>
      <c r="F169" s="115">
        <f t="shared" si="11"/>
        <v>0.45753424657534247</v>
      </c>
    </row>
    <row r="170" spans="1:6" x14ac:dyDescent="0.2">
      <c r="A170" s="128">
        <v>42173</v>
      </c>
      <c r="C170">
        <f t="shared" si="12"/>
        <v>168</v>
      </c>
      <c r="D170">
        <f t="shared" si="13"/>
        <v>196</v>
      </c>
      <c r="E170" s="115">
        <f t="shared" si="14"/>
        <v>0.53698630136986303</v>
      </c>
      <c r="F170" s="115">
        <f t="shared" si="11"/>
        <v>0.46027397260273972</v>
      </c>
    </row>
    <row r="171" spans="1:6" x14ac:dyDescent="0.2">
      <c r="A171" s="128">
        <v>42174</v>
      </c>
      <c r="C171">
        <f t="shared" si="12"/>
        <v>169</v>
      </c>
      <c r="D171">
        <f t="shared" si="13"/>
        <v>195</v>
      </c>
      <c r="E171" s="115">
        <f t="shared" si="14"/>
        <v>0.53424657534246578</v>
      </c>
      <c r="F171" s="115">
        <f t="shared" si="11"/>
        <v>0.46301369863013697</v>
      </c>
    </row>
    <row r="172" spans="1:6" x14ac:dyDescent="0.2">
      <c r="A172" s="128">
        <v>42175</v>
      </c>
      <c r="C172">
        <f t="shared" si="12"/>
        <v>170</v>
      </c>
      <c r="D172">
        <f t="shared" si="13"/>
        <v>194</v>
      </c>
      <c r="E172" s="115">
        <f t="shared" si="14"/>
        <v>0.53150684931506853</v>
      </c>
      <c r="F172" s="115">
        <f t="shared" si="11"/>
        <v>0.46575342465753422</v>
      </c>
    </row>
    <row r="173" spans="1:6" x14ac:dyDescent="0.2">
      <c r="A173" s="128">
        <v>42176</v>
      </c>
      <c r="C173">
        <f t="shared" si="12"/>
        <v>171</v>
      </c>
      <c r="D173">
        <f t="shared" si="13"/>
        <v>193</v>
      </c>
      <c r="E173" s="115">
        <f t="shared" si="14"/>
        <v>0.52876712328767128</v>
      </c>
      <c r="F173" s="115">
        <f t="shared" si="11"/>
        <v>0.46849315068493153</v>
      </c>
    </row>
    <row r="174" spans="1:6" x14ac:dyDescent="0.2">
      <c r="A174" s="128">
        <v>42177</v>
      </c>
      <c r="C174">
        <f t="shared" si="12"/>
        <v>172</v>
      </c>
      <c r="D174">
        <f t="shared" si="13"/>
        <v>192</v>
      </c>
      <c r="E174" s="115">
        <f t="shared" si="14"/>
        <v>0.52602739726027392</v>
      </c>
      <c r="F174" s="115">
        <f t="shared" si="11"/>
        <v>0.47123287671232877</v>
      </c>
    </row>
    <row r="175" spans="1:6" x14ac:dyDescent="0.2">
      <c r="A175" s="128">
        <v>42178</v>
      </c>
      <c r="C175">
        <f t="shared" si="12"/>
        <v>173</v>
      </c>
      <c r="D175">
        <f t="shared" si="13"/>
        <v>191</v>
      </c>
      <c r="E175" s="115">
        <f t="shared" si="14"/>
        <v>0.52328767123287667</v>
      </c>
      <c r="F175" s="115">
        <f t="shared" si="11"/>
        <v>0.47397260273972602</v>
      </c>
    </row>
    <row r="176" spans="1:6" x14ac:dyDescent="0.2">
      <c r="A176" s="128">
        <v>42179</v>
      </c>
      <c r="C176">
        <f t="shared" si="12"/>
        <v>174</v>
      </c>
      <c r="D176">
        <f t="shared" si="13"/>
        <v>190</v>
      </c>
      <c r="E176" s="115">
        <f t="shared" si="14"/>
        <v>0.52054794520547942</v>
      </c>
      <c r="F176" s="115">
        <f t="shared" si="11"/>
        <v>0.47671232876712327</v>
      </c>
    </row>
    <row r="177" spans="1:6" x14ac:dyDescent="0.2">
      <c r="A177" s="128">
        <v>42180</v>
      </c>
      <c r="C177">
        <f t="shared" si="12"/>
        <v>175</v>
      </c>
      <c r="D177">
        <f t="shared" si="13"/>
        <v>189</v>
      </c>
      <c r="E177" s="115">
        <f t="shared" si="14"/>
        <v>0.51780821917808217</v>
      </c>
      <c r="F177" s="115">
        <f t="shared" si="11"/>
        <v>0.47945205479452052</v>
      </c>
    </row>
    <row r="178" spans="1:6" x14ac:dyDescent="0.2">
      <c r="A178" s="128">
        <v>42181</v>
      </c>
      <c r="C178">
        <f t="shared" si="12"/>
        <v>176</v>
      </c>
      <c r="D178">
        <f t="shared" si="13"/>
        <v>188</v>
      </c>
      <c r="E178" s="115">
        <f t="shared" si="14"/>
        <v>0.51506849315068493</v>
      </c>
      <c r="F178" s="115">
        <f t="shared" si="11"/>
        <v>0.48219178082191783</v>
      </c>
    </row>
    <row r="179" spans="1:6" x14ac:dyDescent="0.2">
      <c r="A179" s="128">
        <v>42182</v>
      </c>
      <c r="C179">
        <f t="shared" si="12"/>
        <v>177</v>
      </c>
      <c r="D179">
        <f t="shared" si="13"/>
        <v>187</v>
      </c>
      <c r="E179" s="115">
        <f t="shared" si="14"/>
        <v>0.51232876712328768</v>
      </c>
      <c r="F179" s="115">
        <f t="shared" si="11"/>
        <v>0.48493150684931507</v>
      </c>
    </row>
    <row r="180" spans="1:6" x14ac:dyDescent="0.2">
      <c r="A180" s="128">
        <v>42183</v>
      </c>
      <c r="C180">
        <f t="shared" si="12"/>
        <v>178</v>
      </c>
      <c r="D180">
        <f t="shared" si="13"/>
        <v>186</v>
      </c>
      <c r="E180" s="115">
        <f t="shared" si="14"/>
        <v>0.50958904109589043</v>
      </c>
      <c r="F180" s="115">
        <f t="shared" si="11"/>
        <v>0.48767123287671232</v>
      </c>
    </row>
    <row r="181" spans="1:6" x14ac:dyDescent="0.2">
      <c r="A181" s="128">
        <v>42184</v>
      </c>
      <c r="C181">
        <f t="shared" si="12"/>
        <v>179</v>
      </c>
      <c r="D181">
        <f t="shared" si="13"/>
        <v>185</v>
      </c>
      <c r="E181" s="115">
        <f t="shared" si="14"/>
        <v>0.50684931506849318</v>
      </c>
      <c r="F181" s="115">
        <f t="shared" si="11"/>
        <v>0.49041095890410957</v>
      </c>
    </row>
    <row r="182" spans="1:6" x14ac:dyDescent="0.2">
      <c r="A182" s="128">
        <v>42185</v>
      </c>
      <c r="C182">
        <f t="shared" si="12"/>
        <v>180</v>
      </c>
      <c r="D182">
        <f t="shared" si="13"/>
        <v>184</v>
      </c>
      <c r="E182" s="115">
        <f t="shared" si="14"/>
        <v>0.50410958904109593</v>
      </c>
      <c r="F182" s="115">
        <f t="shared" si="11"/>
        <v>0.49315068493150682</v>
      </c>
    </row>
    <row r="183" spans="1:6" x14ac:dyDescent="0.2">
      <c r="A183" s="128">
        <v>42186</v>
      </c>
      <c r="C183">
        <f t="shared" si="12"/>
        <v>181</v>
      </c>
      <c r="D183">
        <f t="shared" si="13"/>
        <v>183</v>
      </c>
      <c r="E183" s="115">
        <f t="shared" si="14"/>
        <v>0.50136986301369868</v>
      </c>
      <c r="F183" s="115">
        <f t="shared" si="11"/>
        <v>0.49589041095890413</v>
      </c>
    </row>
    <row r="184" spans="1:6" x14ac:dyDescent="0.2">
      <c r="A184" s="128">
        <v>42187</v>
      </c>
      <c r="C184">
        <f t="shared" si="12"/>
        <v>182</v>
      </c>
      <c r="D184">
        <f t="shared" si="13"/>
        <v>182</v>
      </c>
      <c r="E184" s="115">
        <f t="shared" si="14"/>
        <v>0.49863013698630138</v>
      </c>
      <c r="F184" s="115">
        <f t="shared" si="11"/>
        <v>0.49863013698630138</v>
      </c>
    </row>
    <row r="185" spans="1:6" x14ac:dyDescent="0.2">
      <c r="A185" s="128">
        <v>42188</v>
      </c>
      <c r="C185">
        <f t="shared" si="12"/>
        <v>183</v>
      </c>
      <c r="D185">
        <f t="shared" si="13"/>
        <v>181</v>
      </c>
      <c r="E185" s="115">
        <f t="shared" si="14"/>
        <v>0.49589041095890413</v>
      </c>
      <c r="F185" s="115">
        <f t="shared" si="11"/>
        <v>0.50136986301369868</v>
      </c>
    </row>
    <row r="186" spans="1:6" x14ac:dyDescent="0.2">
      <c r="A186" s="128">
        <v>42189</v>
      </c>
      <c r="C186">
        <f t="shared" si="12"/>
        <v>184</v>
      </c>
      <c r="D186">
        <f t="shared" si="13"/>
        <v>180</v>
      </c>
      <c r="E186" s="115">
        <f t="shared" si="14"/>
        <v>0.49315068493150682</v>
      </c>
      <c r="F186" s="115">
        <f t="shared" si="11"/>
        <v>0.50410958904109593</v>
      </c>
    </row>
    <row r="187" spans="1:6" x14ac:dyDescent="0.2">
      <c r="A187" s="128">
        <v>42190</v>
      </c>
      <c r="C187">
        <f t="shared" si="12"/>
        <v>185</v>
      </c>
      <c r="D187">
        <f t="shared" si="13"/>
        <v>179</v>
      </c>
      <c r="E187" s="115">
        <f t="shared" si="14"/>
        <v>0.49041095890410957</v>
      </c>
      <c r="F187" s="115">
        <f t="shared" si="11"/>
        <v>0.50684931506849318</v>
      </c>
    </row>
    <row r="188" spans="1:6" x14ac:dyDescent="0.2">
      <c r="A188" s="128">
        <v>42191</v>
      </c>
      <c r="C188">
        <f t="shared" si="12"/>
        <v>186</v>
      </c>
      <c r="D188">
        <f t="shared" si="13"/>
        <v>178</v>
      </c>
      <c r="E188" s="115">
        <f t="shared" si="14"/>
        <v>0.48767123287671232</v>
      </c>
      <c r="F188" s="115">
        <f t="shared" si="11"/>
        <v>0.50958904109589043</v>
      </c>
    </row>
    <row r="189" spans="1:6" x14ac:dyDescent="0.2">
      <c r="A189" s="128">
        <v>42192</v>
      </c>
      <c r="C189">
        <f t="shared" si="12"/>
        <v>187</v>
      </c>
      <c r="D189">
        <f t="shared" si="13"/>
        <v>177</v>
      </c>
      <c r="E189" s="115">
        <f t="shared" si="14"/>
        <v>0.48493150684931507</v>
      </c>
      <c r="F189" s="115">
        <f t="shared" si="11"/>
        <v>0.51232876712328768</v>
      </c>
    </row>
    <row r="190" spans="1:6" x14ac:dyDescent="0.2">
      <c r="A190" s="128">
        <v>42193</v>
      </c>
      <c r="C190">
        <f t="shared" si="12"/>
        <v>188</v>
      </c>
      <c r="D190">
        <f t="shared" si="13"/>
        <v>176</v>
      </c>
      <c r="E190" s="115">
        <f t="shared" si="14"/>
        <v>0.48219178082191783</v>
      </c>
      <c r="F190" s="115">
        <f t="shared" si="11"/>
        <v>0.51506849315068493</v>
      </c>
    </row>
    <row r="191" spans="1:6" x14ac:dyDescent="0.2">
      <c r="A191" s="128">
        <v>42194</v>
      </c>
      <c r="C191">
        <f t="shared" si="12"/>
        <v>189</v>
      </c>
      <c r="D191">
        <f t="shared" si="13"/>
        <v>175</v>
      </c>
      <c r="E191" s="115">
        <f t="shared" si="14"/>
        <v>0.47945205479452052</v>
      </c>
      <c r="F191" s="115">
        <f t="shared" si="11"/>
        <v>0.51780821917808217</v>
      </c>
    </row>
    <row r="192" spans="1:6" x14ac:dyDescent="0.2">
      <c r="A192" s="128">
        <v>42195</v>
      </c>
      <c r="C192">
        <f t="shared" si="12"/>
        <v>190</v>
      </c>
      <c r="D192">
        <f t="shared" si="13"/>
        <v>174</v>
      </c>
      <c r="E192" s="115">
        <f t="shared" si="14"/>
        <v>0.47671232876712327</v>
      </c>
      <c r="F192" s="115">
        <f t="shared" si="11"/>
        <v>0.52054794520547942</v>
      </c>
    </row>
    <row r="193" spans="1:6" x14ac:dyDescent="0.2">
      <c r="A193" s="128">
        <v>42196</v>
      </c>
      <c r="C193">
        <f t="shared" si="12"/>
        <v>191</v>
      </c>
      <c r="D193">
        <f t="shared" si="13"/>
        <v>173</v>
      </c>
      <c r="E193" s="115">
        <f t="shared" si="14"/>
        <v>0.47397260273972602</v>
      </c>
      <c r="F193" s="115">
        <f t="shared" si="11"/>
        <v>0.52328767123287667</v>
      </c>
    </row>
    <row r="194" spans="1:6" x14ac:dyDescent="0.2">
      <c r="A194" s="128">
        <v>42197</v>
      </c>
      <c r="C194">
        <f t="shared" si="12"/>
        <v>192</v>
      </c>
      <c r="D194">
        <f t="shared" si="13"/>
        <v>172</v>
      </c>
      <c r="E194" s="115">
        <f t="shared" si="14"/>
        <v>0.47123287671232877</v>
      </c>
      <c r="F194" s="115">
        <f t="shared" si="11"/>
        <v>0.52602739726027392</v>
      </c>
    </row>
    <row r="195" spans="1:6" x14ac:dyDescent="0.2">
      <c r="A195" s="128">
        <v>42198</v>
      </c>
      <c r="C195">
        <f t="shared" si="12"/>
        <v>193</v>
      </c>
      <c r="D195">
        <f t="shared" si="13"/>
        <v>171</v>
      </c>
      <c r="E195" s="115">
        <f t="shared" si="14"/>
        <v>0.46849315068493153</v>
      </c>
      <c r="F195" s="115">
        <f t="shared" ref="F195:F258" si="15">C195/365</f>
        <v>0.52876712328767128</v>
      </c>
    </row>
    <row r="196" spans="1:6" x14ac:dyDescent="0.2">
      <c r="A196" s="128">
        <v>42199</v>
      </c>
      <c r="C196">
        <f t="shared" ref="C196:C259" si="16">_xlfn.DAYS(A196,A$2)</f>
        <v>194</v>
      </c>
      <c r="D196">
        <f t="shared" si="13"/>
        <v>170</v>
      </c>
      <c r="E196" s="115">
        <f t="shared" si="14"/>
        <v>0.46575342465753422</v>
      </c>
      <c r="F196" s="115">
        <f t="shared" si="15"/>
        <v>0.53150684931506853</v>
      </c>
    </row>
    <row r="197" spans="1:6" x14ac:dyDescent="0.2">
      <c r="A197" s="128">
        <v>42200</v>
      </c>
      <c r="C197">
        <f t="shared" si="16"/>
        <v>195</v>
      </c>
      <c r="D197">
        <f t="shared" si="13"/>
        <v>169</v>
      </c>
      <c r="E197" s="115">
        <f t="shared" si="14"/>
        <v>0.46301369863013697</v>
      </c>
      <c r="F197" s="115">
        <f t="shared" si="15"/>
        <v>0.53424657534246578</v>
      </c>
    </row>
    <row r="198" spans="1:6" x14ac:dyDescent="0.2">
      <c r="A198" s="128">
        <v>42201</v>
      </c>
      <c r="C198">
        <f t="shared" si="16"/>
        <v>196</v>
      </c>
      <c r="D198">
        <f t="shared" si="13"/>
        <v>168</v>
      </c>
      <c r="E198" s="115">
        <f t="shared" si="14"/>
        <v>0.46027397260273972</v>
      </c>
      <c r="F198" s="115">
        <f t="shared" si="15"/>
        <v>0.53698630136986303</v>
      </c>
    </row>
    <row r="199" spans="1:6" x14ac:dyDescent="0.2">
      <c r="A199" s="128">
        <v>42202</v>
      </c>
      <c r="C199">
        <f t="shared" si="16"/>
        <v>197</v>
      </c>
      <c r="D199">
        <f t="shared" si="13"/>
        <v>167</v>
      </c>
      <c r="E199" s="115">
        <f t="shared" si="14"/>
        <v>0.45753424657534247</v>
      </c>
      <c r="F199" s="115">
        <f t="shared" si="15"/>
        <v>0.53972602739726028</v>
      </c>
    </row>
    <row r="200" spans="1:6" x14ac:dyDescent="0.2">
      <c r="A200" s="128">
        <v>42203</v>
      </c>
      <c r="C200">
        <f t="shared" si="16"/>
        <v>198</v>
      </c>
      <c r="D200">
        <f t="shared" si="13"/>
        <v>166</v>
      </c>
      <c r="E200" s="115">
        <f t="shared" si="14"/>
        <v>0.45479452054794522</v>
      </c>
      <c r="F200" s="115">
        <f t="shared" si="15"/>
        <v>0.54246575342465753</v>
      </c>
    </row>
    <row r="201" spans="1:6" x14ac:dyDescent="0.2">
      <c r="A201" s="128">
        <v>42204</v>
      </c>
      <c r="C201">
        <f t="shared" si="16"/>
        <v>199</v>
      </c>
      <c r="D201">
        <f t="shared" si="13"/>
        <v>165</v>
      </c>
      <c r="E201" s="115">
        <f t="shared" si="14"/>
        <v>0.45205479452054792</v>
      </c>
      <c r="F201" s="115">
        <f t="shared" si="15"/>
        <v>0.54520547945205478</v>
      </c>
    </row>
    <row r="202" spans="1:6" x14ac:dyDescent="0.2">
      <c r="A202" s="128">
        <v>42205</v>
      </c>
      <c r="C202">
        <f t="shared" si="16"/>
        <v>200</v>
      </c>
      <c r="D202">
        <f t="shared" si="13"/>
        <v>164</v>
      </c>
      <c r="E202" s="115">
        <f t="shared" si="14"/>
        <v>0.44931506849315067</v>
      </c>
      <c r="F202" s="115">
        <f t="shared" si="15"/>
        <v>0.54794520547945202</v>
      </c>
    </row>
    <row r="203" spans="1:6" x14ac:dyDescent="0.2">
      <c r="A203" s="128">
        <v>42206</v>
      </c>
      <c r="C203">
        <f t="shared" si="16"/>
        <v>201</v>
      </c>
      <c r="D203">
        <f t="shared" si="13"/>
        <v>163</v>
      </c>
      <c r="E203" s="115">
        <f t="shared" si="14"/>
        <v>0.44657534246575342</v>
      </c>
      <c r="F203" s="115">
        <f t="shared" si="15"/>
        <v>0.55068493150684927</v>
      </c>
    </row>
    <row r="204" spans="1:6" x14ac:dyDescent="0.2">
      <c r="A204" s="128">
        <v>42207</v>
      </c>
      <c r="C204">
        <f t="shared" si="16"/>
        <v>202</v>
      </c>
      <c r="D204">
        <f t="shared" si="13"/>
        <v>162</v>
      </c>
      <c r="E204" s="115">
        <f t="shared" si="14"/>
        <v>0.44383561643835617</v>
      </c>
      <c r="F204" s="115">
        <f t="shared" si="15"/>
        <v>0.55342465753424652</v>
      </c>
    </row>
    <row r="205" spans="1:6" x14ac:dyDescent="0.2">
      <c r="A205" s="128">
        <v>42208</v>
      </c>
      <c r="C205">
        <f t="shared" si="16"/>
        <v>203</v>
      </c>
      <c r="D205">
        <f t="shared" si="13"/>
        <v>161</v>
      </c>
      <c r="E205" s="115">
        <f t="shared" si="14"/>
        <v>0.44109589041095892</v>
      </c>
      <c r="F205" s="115">
        <f t="shared" si="15"/>
        <v>0.55616438356164388</v>
      </c>
    </row>
    <row r="206" spans="1:6" x14ac:dyDescent="0.2">
      <c r="A206" s="128">
        <v>42209</v>
      </c>
      <c r="C206">
        <f t="shared" si="16"/>
        <v>204</v>
      </c>
      <c r="D206">
        <f t="shared" si="13"/>
        <v>160</v>
      </c>
      <c r="E206" s="115">
        <f t="shared" si="14"/>
        <v>0.43835616438356162</v>
      </c>
      <c r="F206" s="115">
        <f t="shared" si="15"/>
        <v>0.55890410958904113</v>
      </c>
    </row>
    <row r="207" spans="1:6" x14ac:dyDescent="0.2">
      <c r="A207" s="128">
        <v>42210</v>
      </c>
      <c r="C207">
        <f t="shared" si="16"/>
        <v>205</v>
      </c>
      <c r="D207">
        <f t="shared" si="13"/>
        <v>159</v>
      </c>
      <c r="E207" s="115">
        <f t="shared" si="14"/>
        <v>0.43561643835616437</v>
      </c>
      <c r="F207" s="115">
        <f t="shared" si="15"/>
        <v>0.56164383561643838</v>
      </c>
    </row>
    <row r="208" spans="1:6" x14ac:dyDescent="0.2">
      <c r="A208" s="128">
        <v>42211</v>
      </c>
      <c r="C208">
        <f t="shared" si="16"/>
        <v>206</v>
      </c>
      <c r="D208">
        <f t="shared" si="13"/>
        <v>158</v>
      </c>
      <c r="E208" s="115">
        <f t="shared" si="14"/>
        <v>0.43287671232876712</v>
      </c>
      <c r="F208" s="115">
        <f t="shared" si="15"/>
        <v>0.56438356164383563</v>
      </c>
    </row>
    <row r="209" spans="1:6" x14ac:dyDescent="0.2">
      <c r="A209" s="128">
        <v>42212</v>
      </c>
      <c r="C209">
        <f t="shared" si="16"/>
        <v>207</v>
      </c>
      <c r="D209">
        <f t="shared" si="13"/>
        <v>157</v>
      </c>
      <c r="E209" s="115">
        <f t="shared" si="14"/>
        <v>0.43013698630136987</v>
      </c>
      <c r="F209" s="115">
        <f t="shared" si="15"/>
        <v>0.56712328767123288</v>
      </c>
    </row>
    <row r="210" spans="1:6" x14ac:dyDescent="0.2">
      <c r="A210" s="128">
        <v>42213</v>
      </c>
      <c r="C210">
        <f t="shared" si="16"/>
        <v>208</v>
      </c>
      <c r="D210">
        <f t="shared" si="13"/>
        <v>156</v>
      </c>
      <c r="E210" s="115">
        <f t="shared" si="14"/>
        <v>0.42739726027397262</v>
      </c>
      <c r="F210" s="115">
        <f t="shared" si="15"/>
        <v>0.56986301369863013</v>
      </c>
    </row>
    <row r="211" spans="1:6" x14ac:dyDescent="0.2">
      <c r="A211" s="128">
        <v>42214</v>
      </c>
      <c r="C211">
        <f t="shared" si="16"/>
        <v>209</v>
      </c>
      <c r="D211">
        <f t="shared" si="13"/>
        <v>155</v>
      </c>
      <c r="E211" s="115">
        <f t="shared" si="14"/>
        <v>0.42465753424657532</v>
      </c>
      <c r="F211" s="115">
        <f t="shared" si="15"/>
        <v>0.57260273972602738</v>
      </c>
    </row>
    <row r="212" spans="1:6" x14ac:dyDescent="0.2">
      <c r="A212" s="128">
        <v>42215</v>
      </c>
      <c r="C212">
        <f t="shared" si="16"/>
        <v>210</v>
      </c>
      <c r="D212">
        <f t="shared" si="13"/>
        <v>154</v>
      </c>
      <c r="E212" s="115">
        <f t="shared" si="14"/>
        <v>0.42191780821917807</v>
      </c>
      <c r="F212" s="115">
        <f t="shared" si="15"/>
        <v>0.57534246575342463</v>
      </c>
    </row>
    <row r="213" spans="1:6" x14ac:dyDescent="0.2">
      <c r="A213" s="128">
        <v>42216</v>
      </c>
      <c r="C213">
        <f t="shared" si="16"/>
        <v>211</v>
      </c>
      <c r="D213">
        <f t="shared" si="13"/>
        <v>153</v>
      </c>
      <c r="E213" s="115">
        <f t="shared" si="14"/>
        <v>0.41917808219178082</v>
      </c>
      <c r="F213" s="115">
        <f t="shared" si="15"/>
        <v>0.57808219178082187</v>
      </c>
    </row>
    <row r="214" spans="1:6" x14ac:dyDescent="0.2">
      <c r="A214" s="128">
        <v>42217</v>
      </c>
      <c r="C214">
        <f t="shared" si="16"/>
        <v>212</v>
      </c>
      <c r="D214">
        <f t="shared" si="13"/>
        <v>152</v>
      </c>
      <c r="E214" s="115">
        <f t="shared" si="14"/>
        <v>0.41643835616438357</v>
      </c>
      <c r="F214" s="115">
        <f t="shared" si="15"/>
        <v>0.58082191780821912</v>
      </c>
    </row>
    <row r="215" spans="1:6" x14ac:dyDescent="0.2">
      <c r="A215" s="128">
        <v>42218</v>
      </c>
      <c r="C215">
        <f t="shared" si="16"/>
        <v>213</v>
      </c>
      <c r="D215">
        <f t="shared" si="13"/>
        <v>151</v>
      </c>
      <c r="E215" s="115">
        <f t="shared" si="14"/>
        <v>0.41369863013698632</v>
      </c>
      <c r="F215" s="115">
        <f t="shared" si="15"/>
        <v>0.58356164383561648</v>
      </c>
    </row>
    <row r="216" spans="1:6" x14ac:dyDescent="0.2">
      <c r="A216" s="128">
        <v>42219</v>
      </c>
      <c r="C216">
        <f t="shared" si="16"/>
        <v>214</v>
      </c>
      <c r="D216">
        <f t="shared" si="13"/>
        <v>150</v>
      </c>
      <c r="E216" s="115">
        <f t="shared" si="14"/>
        <v>0.41095890410958902</v>
      </c>
      <c r="F216" s="115">
        <f t="shared" si="15"/>
        <v>0.58630136986301373</v>
      </c>
    </row>
    <row r="217" spans="1:6" x14ac:dyDescent="0.2">
      <c r="A217" s="128">
        <v>42220</v>
      </c>
      <c r="C217">
        <f t="shared" si="16"/>
        <v>215</v>
      </c>
      <c r="D217">
        <f t="shared" si="13"/>
        <v>149</v>
      </c>
      <c r="E217" s="115">
        <f t="shared" si="14"/>
        <v>0.40821917808219177</v>
      </c>
      <c r="F217" s="115">
        <f t="shared" si="15"/>
        <v>0.58904109589041098</v>
      </c>
    </row>
    <row r="218" spans="1:6" x14ac:dyDescent="0.2">
      <c r="A218" s="128">
        <v>42221</v>
      </c>
      <c r="C218">
        <f t="shared" si="16"/>
        <v>216</v>
      </c>
      <c r="D218">
        <f t="shared" si="13"/>
        <v>148</v>
      </c>
      <c r="E218" s="115">
        <f t="shared" si="14"/>
        <v>0.40547945205479452</v>
      </c>
      <c r="F218" s="115">
        <f t="shared" si="15"/>
        <v>0.59178082191780823</v>
      </c>
    </row>
    <row r="219" spans="1:6" x14ac:dyDescent="0.2">
      <c r="A219" s="128">
        <v>42222</v>
      </c>
      <c r="C219">
        <f t="shared" si="16"/>
        <v>217</v>
      </c>
      <c r="D219">
        <f t="shared" si="13"/>
        <v>147</v>
      </c>
      <c r="E219" s="115">
        <f t="shared" si="14"/>
        <v>0.40273972602739727</v>
      </c>
      <c r="F219" s="115">
        <f t="shared" si="15"/>
        <v>0.59452054794520548</v>
      </c>
    </row>
    <row r="220" spans="1:6" x14ac:dyDescent="0.2">
      <c r="A220" s="128">
        <v>42223</v>
      </c>
      <c r="C220">
        <f t="shared" si="16"/>
        <v>218</v>
      </c>
      <c r="D220">
        <f t="shared" si="13"/>
        <v>146</v>
      </c>
      <c r="E220" s="115">
        <f t="shared" si="14"/>
        <v>0.4</v>
      </c>
      <c r="F220" s="115">
        <f t="shared" si="15"/>
        <v>0.59726027397260273</v>
      </c>
    </row>
    <row r="221" spans="1:6" x14ac:dyDescent="0.2">
      <c r="A221" s="128">
        <v>42224</v>
      </c>
      <c r="C221">
        <f t="shared" si="16"/>
        <v>219</v>
      </c>
      <c r="D221">
        <f t="shared" ref="D221:D284" si="17">_xlfn.DAYS(A$366,A221)</f>
        <v>145</v>
      </c>
      <c r="E221" s="115">
        <f t="shared" ref="E221:E284" si="18">D221/365</f>
        <v>0.39726027397260272</v>
      </c>
      <c r="F221" s="115">
        <f t="shared" si="15"/>
        <v>0.6</v>
      </c>
    </row>
    <row r="222" spans="1:6" x14ac:dyDescent="0.2">
      <c r="A222" s="128">
        <v>42225</v>
      </c>
      <c r="C222">
        <f t="shared" si="16"/>
        <v>220</v>
      </c>
      <c r="D222">
        <f t="shared" si="17"/>
        <v>144</v>
      </c>
      <c r="E222" s="115">
        <f t="shared" si="18"/>
        <v>0.39452054794520547</v>
      </c>
      <c r="F222" s="115">
        <f t="shared" si="15"/>
        <v>0.60273972602739723</v>
      </c>
    </row>
    <row r="223" spans="1:6" x14ac:dyDescent="0.2">
      <c r="A223" s="128">
        <v>42226</v>
      </c>
      <c r="C223">
        <f t="shared" si="16"/>
        <v>221</v>
      </c>
      <c r="D223">
        <f t="shared" si="17"/>
        <v>143</v>
      </c>
      <c r="E223" s="115">
        <f t="shared" si="18"/>
        <v>0.39178082191780822</v>
      </c>
      <c r="F223" s="115">
        <f t="shared" si="15"/>
        <v>0.60547945205479448</v>
      </c>
    </row>
    <row r="224" spans="1:6" x14ac:dyDescent="0.2">
      <c r="A224" s="128">
        <v>42227</v>
      </c>
      <c r="C224">
        <f t="shared" si="16"/>
        <v>222</v>
      </c>
      <c r="D224">
        <f t="shared" si="17"/>
        <v>142</v>
      </c>
      <c r="E224" s="115">
        <f t="shared" si="18"/>
        <v>0.38904109589041097</v>
      </c>
      <c r="F224" s="115">
        <f t="shared" si="15"/>
        <v>0.60821917808219184</v>
      </c>
    </row>
    <row r="225" spans="1:6" x14ac:dyDescent="0.2">
      <c r="A225" s="128">
        <v>42228</v>
      </c>
      <c r="C225">
        <f t="shared" si="16"/>
        <v>223</v>
      </c>
      <c r="D225">
        <f t="shared" si="17"/>
        <v>141</v>
      </c>
      <c r="E225" s="115">
        <f t="shared" si="18"/>
        <v>0.38630136986301372</v>
      </c>
      <c r="F225" s="115">
        <f t="shared" si="15"/>
        <v>0.61095890410958908</v>
      </c>
    </row>
    <row r="226" spans="1:6" x14ac:dyDescent="0.2">
      <c r="A226" s="128">
        <v>42229</v>
      </c>
      <c r="C226">
        <f t="shared" si="16"/>
        <v>224</v>
      </c>
      <c r="D226">
        <f t="shared" si="17"/>
        <v>140</v>
      </c>
      <c r="E226" s="115">
        <f t="shared" si="18"/>
        <v>0.38356164383561642</v>
      </c>
      <c r="F226" s="115">
        <f t="shared" si="15"/>
        <v>0.61369863013698633</v>
      </c>
    </row>
    <row r="227" spans="1:6" x14ac:dyDescent="0.2">
      <c r="A227" s="128">
        <v>42230</v>
      </c>
      <c r="C227">
        <f t="shared" si="16"/>
        <v>225</v>
      </c>
      <c r="D227">
        <f t="shared" si="17"/>
        <v>139</v>
      </c>
      <c r="E227" s="115">
        <f t="shared" si="18"/>
        <v>0.38082191780821917</v>
      </c>
      <c r="F227" s="115">
        <f t="shared" si="15"/>
        <v>0.61643835616438358</v>
      </c>
    </row>
    <row r="228" spans="1:6" x14ac:dyDescent="0.2">
      <c r="A228" s="128">
        <v>42231</v>
      </c>
      <c r="C228">
        <f t="shared" si="16"/>
        <v>226</v>
      </c>
      <c r="D228">
        <f t="shared" si="17"/>
        <v>138</v>
      </c>
      <c r="E228" s="115">
        <f t="shared" si="18"/>
        <v>0.37808219178082192</v>
      </c>
      <c r="F228" s="115">
        <f t="shared" si="15"/>
        <v>0.61917808219178083</v>
      </c>
    </row>
    <row r="229" spans="1:6" x14ac:dyDescent="0.2">
      <c r="A229" s="128">
        <v>42232</v>
      </c>
      <c r="C229">
        <f t="shared" si="16"/>
        <v>227</v>
      </c>
      <c r="D229">
        <f t="shared" si="17"/>
        <v>137</v>
      </c>
      <c r="E229" s="115">
        <f t="shared" si="18"/>
        <v>0.37534246575342467</v>
      </c>
      <c r="F229" s="115">
        <f t="shared" si="15"/>
        <v>0.62191780821917808</v>
      </c>
    </row>
    <row r="230" spans="1:6" x14ac:dyDescent="0.2">
      <c r="A230" s="128">
        <v>42233</v>
      </c>
      <c r="C230">
        <f t="shared" si="16"/>
        <v>228</v>
      </c>
      <c r="D230">
        <f t="shared" si="17"/>
        <v>136</v>
      </c>
      <c r="E230" s="115">
        <f t="shared" si="18"/>
        <v>0.37260273972602742</v>
      </c>
      <c r="F230" s="115">
        <f t="shared" si="15"/>
        <v>0.62465753424657533</v>
      </c>
    </row>
    <row r="231" spans="1:6" x14ac:dyDescent="0.2">
      <c r="A231" s="128">
        <v>42234</v>
      </c>
      <c r="C231">
        <f t="shared" si="16"/>
        <v>229</v>
      </c>
      <c r="D231">
        <f t="shared" si="17"/>
        <v>135</v>
      </c>
      <c r="E231" s="115">
        <f t="shared" si="18"/>
        <v>0.36986301369863012</v>
      </c>
      <c r="F231" s="115">
        <f t="shared" si="15"/>
        <v>0.62739726027397258</v>
      </c>
    </row>
    <row r="232" spans="1:6" x14ac:dyDescent="0.2">
      <c r="A232" s="128">
        <v>42235</v>
      </c>
      <c r="C232">
        <f t="shared" si="16"/>
        <v>230</v>
      </c>
      <c r="D232">
        <f t="shared" si="17"/>
        <v>134</v>
      </c>
      <c r="E232" s="115">
        <f t="shared" si="18"/>
        <v>0.36712328767123287</v>
      </c>
      <c r="F232" s="115">
        <f t="shared" si="15"/>
        <v>0.63013698630136983</v>
      </c>
    </row>
    <row r="233" spans="1:6" x14ac:dyDescent="0.2">
      <c r="A233" s="128">
        <v>42236</v>
      </c>
      <c r="C233">
        <f t="shared" si="16"/>
        <v>231</v>
      </c>
      <c r="D233">
        <f t="shared" si="17"/>
        <v>133</v>
      </c>
      <c r="E233" s="115">
        <f t="shared" si="18"/>
        <v>0.36438356164383562</v>
      </c>
      <c r="F233" s="115">
        <f t="shared" si="15"/>
        <v>0.63287671232876708</v>
      </c>
    </row>
    <row r="234" spans="1:6" x14ac:dyDescent="0.2">
      <c r="A234" s="128">
        <v>42237</v>
      </c>
      <c r="C234">
        <f t="shared" si="16"/>
        <v>232</v>
      </c>
      <c r="D234">
        <f t="shared" si="17"/>
        <v>132</v>
      </c>
      <c r="E234" s="115">
        <f t="shared" si="18"/>
        <v>0.36164383561643837</v>
      </c>
      <c r="F234" s="115">
        <f t="shared" si="15"/>
        <v>0.63561643835616444</v>
      </c>
    </row>
    <row r="235" spans="1:6" x14ac:dyDescent="0.2">
      <c r="A235" s="128">
        <v>42238</v>
      </c>
      <c r="C235">
        <f t="shared" si="16"/>
        <v>233</v>
      </c>
      <c r="D235">
        <f t="shared" si="17"/>
        <v>131</v>
      </c>
      <c r="E235" s="115">
        <f t="shared" si="18"/>
        <v>0.35890410958904112</v>
      </c>
      <c r="F235" s="115">
        <f t="shared" si="15"/>
        <v>0.63835616438356169</v>
      </c>
    </row>
    <row r="236" spans="1:6" x14ac:dyDescent="0.2">
      <c r="A236" s="128">
        <v>42239</v>
      </c>
      <c r="C236">
        <f t="shared" si="16"/>
        <v>234</v>
      </c>
      <c r="D236">
        <f t="shared" si="17"/>
        <v>130</v>
      </c>
      <c r="E236" s="115">
        <f t="shared" si="18"/>
        <v>0.35616438356164382</v>
      </c>
      <c r="F236" s="115">
        <f t="shared" si="15"/>
        <v>0.64109589041095894</v>
      </c>
    </row>
    <row r="237" spans="1:6" x14ac:dyDescent="0.2">
      <c r="A237" s="128">
        <v>42240</v>
      </c>
      <c r="C237">
        <f t="shared" si="16"/>
        <v>235</v>
      </c>
      <c r="D237">
        <f t="shared" si="17"/>
        <v>129</v>
      </c>
      <c r="E237" s="115">
        <f t="shared" si="18"/>
        <v>0.35342465753424657</v>
      </c>
      <c r="F237" s="115">
        <f t="shared" si="15"/>
        <v>0.64383561643835618</v>
      </c>
    </row>
    <row r="238" spans="1:6" x14ac:dyDescent="0.2">
      <c r="A238" s="128">
        <v>42241</v>
      </c>
      <c r="C238">
        <f t="shared" si="16"/>
        <v>236</v>
      </c>
      <c r="D238">
        <f t="shared" si="17"/>
        <v>128</v>
      </c>
      <c r="E238" s="115">
        <f t="shared" si="18"/>
        <v>0.35068493150684932</v>
      </c>
      <c r="F238" s="115">
        <f t="shared" si="15"/>
        <v>0.64657534246575343</v>
      </c>
    </row>
    <row r="239" spans="1:6" x14ac:dyDescent="0.2">
      <c r="A239" s="128">
        <v>42242</v>
      </c>
      <c r="C239">
        <f t="shared" si="16"/>
        <v>237</v>
      </c>
      <c r="D239">
        <f t="shared" si="17"/>
        <v>127</v>
      </c>
      <c r="E239" s="115">
        <f t="shared" si="18"/>
        <v>0.34794520547945207</v>
      </c>
      <c r="F239" s="115">
        <f t="shared" si="15"/>
        <v>0.64931506849315068</v>
      </c>
    </row>
    <row r="240" spans="1:6" x14ac:dyDescent="0.2">
      <c r="A240" s="128">
        <v>42243</v>
      </c>
      <c r="C240">
        <f t="shared" si="16"/>
        <v>238</v>
      </c>
      <c r="D240">
        <f t="shared" si="17"/>
        <v>126</v>
      </c>
      <c r="E240" s="115">
        <f t="shared" si="18"/>
        <v>0.34520547945205482</v>
      </c>
      <c r="F240" s="115">
        <f t="shared" si="15"/>
        <v>0.65205479452054793</v>
      </c>
    </row>
    <row r="241" spans="1:6" x14ac:dyDescent="0.2">
      <c r="A241" s="128">
        <v>42244</v>
      </c>
      <c r="C241">
        <f t="shared" si="16"/>
        <v>239</v>
      </c>
      <c r="D241">
        <f t="shared" si="17"/>
        <v>125</v>
      </c>
      <c r="E241" s="115">
        <f t="shared" si="18"/>
        <v>0.34246575342465752</v>
      </c>
      <c r="F241" s="115">
        <f t="shared" si="15"/>
        <v>0.65479452054794518</v>
      </c>
    </row>
    <row r="242" spans="1:6" x14ac:dyDescent="0.2">
      <c r="A242" s="128">
        <v>42245</v>
      </c>
      <c r="C242">
        <f t="shared" si="16"/>
        <v>240</v>
      </c>
      <c r="D242">
        <f t="shared" si="17"/>
        <v>124</v>
      </c>
      <c r="E242" s="115">
        <f t="shared" si="18"/>
        <v>0.33972602739726027</v>
      </c>
      <c r="F242" s="115">
        <f t="shared" si="15"/>
        <v>0.65753424657534243</v>
      </c>
    </row>
    <row r="243" spans="1:6" x14ac:dyDescent="0.2">
      <c r="A243" s="128">
        <v>42246</v>
      </c>
      <c r="C243">
        <f t="shared" si="16"/>
        <v>241</v>
      </c>
      <c r="D243">
        <f t="shared" si="17"/>
        <v>123</v>
      </c>
      <c r="E243" s="115">
        <f t="shared" si="18"/>
        <v>0.33698630136986302</v>
      </c>
      <c r="F243" s="115">
        <f t="shared" si="15"/>
        <v>0.66027397260273968</v>
      </c>
    </row>
    <row r="244" spans="1:6" x14ac:dyDescent="0.2">
      <c r="A244" s="128">
        <v>42247</v>
      </c>
      <c r="C244">
        <f t="shared" si="16"/>
        <v>242</v>
      </c>
      <c r="D244">
        <f t="shared" si="17"/>
        <v>122</v>
      </c>
      <c r="E244" s="115">
        <f t="shared" si="18"/>
        <v>0.33424657534246577</v>
      </c>
      <c r="F244" s="115">
        <f t="shared" si="15"/>
        <v>0.66301369863013704</v>
      </c>
    </row>
    <row r="245" spans="1:6" x14ac:dyDescent="0.2">
      <c r="A245" s="128">
        <v>42248</v>
      </c>
      <c r="B245" t="s">
        <v>350</v>
      </c>
      <c r="C245">
        <f t="shared" si="16"/>
        <v>243</v>
      </c>
      <c r="D245">
        <f t="shared" si="17"/>
        <v>121</v>
      </c>
      <c r="E245" s="115">
        <f t="shared" si="18"/>
        <v>0.33150684931506852</v>
      </c>
      <c r="F245" s="115">
        <f t="shared" si="15"/>
        <v>0.66575342465753429</v>
      </c>
    </row>
    <row r="246" spans="1:6" x14ac:dyDescent="0.2">
      <c r="A246" s="128">
        <v>42249</v>
      </c>
      <c r="C246">
        <f t="shared" si="16"/>
        <v>244</v>
      </c>
      <c r="D246">
        <f t="shared" si="17"/>
        <v>120</v>
      </c>
      <c r="E246" s="115">
        <f t="shared" si="18"/>
        <v>0.32876712328767121</v>
      </c>
      <c r="F246" s="115">
        <f t="shared" si="15"/>
        <v>0.66849315068493154</v>
      </c>
    </row>
    <row r="247" spans="1:6" x14ac:dyDescent="0.2">
      <c r="A247" s="128">
        <v>42250</v>
      </c>
      <c r="C247">
        <f t="shared" si="16"/>
        <v>245</v>
      </c>
      <c r="D247">
        <f t="shared" si="17"/>
        <v>119</v>
      </c>
      <c r="E247" s="115">
        <f t="shared" si="18"/>
        <v>0.32602739726027397</v>
      </c>
      <c r="F247" s="115">
        <f t="shared" si="15"/>
        <v>0.67123287671232879</v>
      </c>
    </row>
    <row r="248" spans="1:6" x14ac:dyDescent="0.2">
      <c r="A248" s="128">
        <v>42251</v>
      </c>
      <c r="C248">
        <f t="shared" si="16"/>
        <v>246</v>
      </c>
      <c r="D248">
        <f t="shared" si="17"/>
        <v>118</v>
      </c>
      <c r="E248" s="115">
        <f t="shared" si="18"/>
        <v>0.32328767123287672</v>
      </c>
      <c r="F248" s="115">
        <f t="shared" si="15"/>
        <v>0.67397260273972603</v>
      </c>
    </row>
    <row r="249" spans="1:6" x14ac:dyDescent="0.2">
      <c r="A249" s="128">
        <v>42252</v>
      </c>
      <c r="C249">
        <f t="shared" si="16"/>
        <v>247</v>
      </c>
      <c r="D249">
        <f t="shared" si="17"/>
        <v>117</v>
      </c>
      <c r="E249" s="115">
        <f t="shared" si="18"/>
        <v>0.32054794520547947</v>
      </c>
      <c r="F249" s="115">
        <f t="shared" si="15"/>
        <v>0.67671232876712328</v>
      </c>
    </row>
    <row r="250" spans="1:6" x14ac:dyDescent="0.2">
      <c r="A250" s="128">
        <v>42253</v>
      </c>
      <c r="C250">
        <f t="shared" si="16"/>
        <v>248</v>
      </c>
      <c r="D250">
        <f t="shared" si="17"/>
        <v>116</v>
      </c>
      <c r="E250" s="115">
        <f t="shared" si="18"/>
        <v>0.31780821917808222</v>
      </c>
      <c r="F250" s="115">
        <f t="shared" si="15"/>
        <v>0.67945205479452053</v>
      </c>
    </row>
    <row r="251" spans="1:6" x14ac:dyDescent="0.2">
      <c r="A251" s="128">
        <v>42254</v>
      </c>
      <c r="C251">
        <f t="shared" si="16"/>
        <v>249</v>
      </c>
      <c r="D251">
        <f t="shared" si="17"/>
        <v>115</v>
      </c>
      <c r="E251" s="115">
        <f t="shared" si="18"/>
        <v>0.31506849315068491</v>
      </c>
      <c r="F251" s="115">
        <f t="shared" si="15"/>
        <v>0.68219178082191778</v>
      </c>
    </row>
    <row r="252" spans="1:6" x14ac:dyDescent="0.2">
      <c r="A252" s="128">
        <v>42255</v>
      </c>
      <c r="C252">
        <f t="shared" si="16"/>
        <v>250</v>
      </c>
      <c r="D252">
        <f t="shared" si="17"/>
        <v>114</v>
      </c>
      <c r="E252" s="115">
        <f t="shared" si="18"/>
        <v>0.31232876712328766</v>
      </c>
      <c r="F252" s="115">
        <f t="shared" si="15"/>
        <v>0.68493150684931503</v>
      </c>
    </row>
    <row r="253" spans="1:6" x14ac:dyDescent="0.2">
      <c r="A253" s="128">
        <v>42256</v>
      </c>
      <c r="C253">
        <f t="shared" si="16"/>
        <v>251</v>
      </c>
      <c r="D253">
        <f t="shared" si="17"/>
        <v>113</v>
      </c>
      <c r="E253" s="115">
        <f t="shared" si="18"/>
        <v>0.30958904109589042</v>
      </c>
      <c r="F253" s="115">
        <f t="shared" si="15"/>
        <v>0.68767123287671228</v>
      </c>
    </row>
    <row r="254" spans="1:6" x14ac:dyDescent="0.2">
      <c r="A254" s="128">
        <v>42257</v>
      </c>
      <c r="C254">
        <f t="shared" si="16"/>
        <v>252</v>
      </c>
      <c r="D254">
        <f t="shared" si="17"/>
        <v>112</v>
      </c>
      <c r="E254" s="115">
        <f t="shared" si="18"/>
        <v>0.30684931506849317</v>
      </c>
      <c r="F254" s="115">
        <f t="shared" si="15"/>
        <v>0.69041095890410964</v>
      </c>
    </row>
    <row r="255" spans="1:6" x14ac:dyDescent="0.2">
      <c r="A255" s="128">
        <v>42258</v>
      </c>
      <c r="C255">
        <f t="shared" si="16"/>
        <v>253</v>
      </c>
      <c r="D255">
        <f t="shared" si="17"/>
        <v>111</v>
      </c>
      <c r="E255" s="115">
        <f t="shared" si="18"/>
        <v>0.30410958904109592</v>
      </c>
      <c r="F255" s="115">
        <f t="shared" si="15"/>
        <v>0.69315068493150689</v>
      </c>
    </row>
    <row r="256" spans="1:6" x14ac:dyDescent="0.2">
      <c r="A256" s="128">
        <v>42259</v>
      </c>
      <c r="C256">
        <f t="shared" si="16"/>
        <v>254</v>
      </c>
      <c r="D256">
        <f t="shared" si="17"/>
        <v>110</v>
      </c>
      <c r="E256" s="115">
        <f t="shared" si="18"/>
        <v>0.30136986301369861</v>
      </c>
      <c r="F256" s="115">
        <f t="shared" si="15"/>
        <v>0.69589041095890414</v>
      </c>
    </row>
    <row r="257" spans="1:6" x14ac:dyDescent="0.2">
      <c r="A257" s="128">
        <v>42260</v>
      </c>
      <c r="C257">
        <f t="shared" si="16"/>
        <v>255</v>
      </c>
      <c r="D257">
        <f t="shared" si="17"/>
        <v>109</v>
      </c>
      <c r="E257" s="115">
        <f t="shared" si="18"/>
        <v>0.29863013698630136</v>
      </c>
      <c r="F257" s="115">
        <f t="shared" si="15"/>
        <v>0.69863013698630139</v>
      </c>
    </row>
    <row r="258" spans="1:6" x14ac:dyDescent="0.2">
      <c r="A258" s="128">
        <v>42261</v>
      </c>
      <c r="C258">
        <f t="shared" si="16"/>
        <v>256</v>
      </c>
      <c r="D258">
        <f t="shared" si="17"/>
        <v>108</v>
      </c>
      <c r="E258" s="115">
        <f t="shared" si="18"/>
        <v>0.29589041095890412</v>
      </c>
      <c r="F258" s="115">
        <f t="shared" si="15"/>
        <v>0.70136986301369864</v>
      </c>
    </row>
    <row r="259" spans="1:6" x14ac:dyDescent="0.2">
      <c r="A259" s="128">
        <v>42262</v>
      </c>
      <c r="C259">
        <f t="shared" si="16"/>
        <v>257</v>
      </c>
      <c r="D259">
        <f t="shared" si="17"/>
        <v>107</v>
      </c>
      <c r="E259" s="115">
        <f t="shared" si="18"/>
        <v>0.29315068493150687</v>
      </c>
      <c r="F259" s="115">
        <f t="shared" ref="F259:F322" si="19">C259/365</f>
        <v>0.70410958904109588</v>
      </c>
    </row>
    <row r="260" spans="1:6" x14ac:dyDescent="0.2">
      <c r="A260" s="128">
        <v>42263</v>
      </c>
      <c r="C260">
        <f t="shared" ref="C260:C323" si="20">_xlfn.DAYS(A260,A$2)</f>
        <v>258</v>
      </c>
      <c r="D260">
        <f t="shared" si="17"/>
        <v>106</v>
      </c>
      <c r="E260" s="115">
        <f t="shared" si="18"/>
        <v>0.29041095890410956</v>
      </c>
      <c r="F260" s="115">
        <f t="shared" si="19"/>
        <v>0.70684931506849313</v>
      </c>
    </row>
    <row r="261" spans="1:6" x14ac:dyDescent="0.2">
      <c r="A261" s="128">
        <v>42264</v>
      </c>
      <c r="C261">
        <f t="shared" si="20"/>
        <v>259</v>
      </c>
      <c r="D261">
        <f t="shared" si="17"/>
        <v>105</v>
      </c>
      <c r="E261" s="115">
        <f t="shared" si="18"/>
        <v>0.28767123287671231</v>
      </c>
      <c r="F261" s="115">
        <f t="shared" si="19"/>
        <v>0.70958904109589038</v>
      </c>
    </row>
    <row r="262" spans="1:6" x14ac:dyDescent="0.2">
      <c r="A262" s="128">
        <v>42265</v>
      </c>
      <c r="C262">
        <f t="shared" si="20"/>
        <v>260</v>
      </c>
      <c r="D262">
        <f t="shared" si="17"/>
        <v>104</v>
      </c>
      <c r="E262" s="115">
        <f t="shared" si="18"/>
        <v>0.28493150684931506</v>
      </c>
      <c r="F262" s="115">
        <f t="shared" si="19"/>
        <v>0.71232876712328763</v>
      </c>
    </row>
    <row r="263" spans="1:6" x14ac:dyDescent="0.2">
      <c r="A263" s="128">
        <v>42266</v>
      </c>
      <c r="C263">
        <f t="shared" si="20"/>
        <v>261</v>
      </c>
      <c r="D263">
        <f t="shared" si="17"/>
        <v>103</v>
      </c>
      <c r="E263" s="115">
        <f t="shared" si="18"/>
        <v>0.28219178082191781</v>
      </c>
      <c r="F263" s="115">
        <f t="shared" si="19"/>
        <v>0.71506849315068488</v>
      </c>
    </row>
    <row r="264" spans="1:6" x14ac:dyDescent="0.2">
      <c r="A264" s="128">
        <v>42267</v>
      </c>
      <c r="C264">
        <f t="shared" si="20"/>
        <v>262</v>
      </c>
      <c r="D264">
        <f t="shared" si="17"/>
        <v>102</v>
      </c>
      <c r="E264" s="115">
        <f t="shared" si="18"/>
        <v>0.27945205479452057</v>
      </c>
      <c r="F264" s="115">
        <f t="shared" si="19"/>
        <v>0.71780821917808224</v>
      </c>
    </row>
    <row r="265" spans="1:6" x14ac:dyDescent="0.2">
      <c r="A265" s="128">
        <v>42268</v>
      </c>
      <c r="C265">
        <f t="shared" si="20"/>
        <v>263</v>
      </c>
      <c r="D265">
        <f t="shared" si="17"/>
        <v>101</v>
      </c>
      <c r="E265" s="115">
        <f t="shared" si="18"/>
        <v>0.27671232876712326</v>
      </c>
      <c r="F265" s="115">
        <f t="shared" si="19"/>
        <v>0.72054794520547949</v>
      </c>
    </row>
    <row r="266" spans="1:6" x14ac:dyDescent="0.2">
      <c r="A266" s="128">
        <v>42269</v>
      </c>
      <c r="C266">
        <f t="shared" si="20"/>
        <v>264</v>
      </c>
      <c r="D266">
        <f t="shared" si="17"/>
        <v>100</v>
      </c>
      <c r="E266" s="115">
        <f t="shared" si="18"/>
        <v>0.27397260273972601</v>
      </c>
      <c r="F266" s="115">
        <f t="shared" si="19"/>
        <v>0.72328767123287674</v>
      </c>
    </row>
    <row r="267" spans="1:6" x14ac:dyDescent="0.2">
      <c r="A267" s="128">
        <v>42270</v>
      </c>
      <c r="C267">
        <f t="shared" si="20"/>
        <v>265</v>
      </c>
      <c r="D267">
        <f t="shared" si="17"/>
        <v>99</v>
      </c>
      <c r="E267" s="115">
        <f t="shared" si="18"/>
        <v>0.27123287671232876</v>
      </c>
      <c r="F267" s="115">
        <f t="shared" si="19"/>
        <v>0.72602739726027399</v>
      </c>
    </row>
    <row r="268" spans="1:6" x14ac:dyDescent="0.2">
      <c r="A268" s="128">
        <v>42271</v>
      </c>
      <c r="C268">
        <f t="shared" si="20"/>
        <v>266</v>
      </c>
      <c r="D268">
        <f t="shared" si="17"/>
        <v>98</v>
      </c>
      <c r="E268" s="115">
        <f t="shared" si="18"/>
        <v>0.26849315068493151</v>
      </c>
      <c r="F268" s="115">
        <f t="shared" si="19"/>
        <v>0.72876712328767124</v>
      </c>
    </row>
    <row r="269" spans="1:6" x14ac:dyDescent="0.2">
      <c r="A269" s="128">
        <v>42272</v>
      </c>
      <c r="C269">
        <f t="shared" si="20"/>
        <v>267</v>
      </c>
      <c r="D269">
        <f t="shared" si="17"/>
        <v>97</v>
      </c>
      <c r="E269" s="115">
        <f t="shared" si="18"/>
        <v>0.26575342465753427</v>
      </c>
      <c r="F269" s="115">
        <f t="shared" si="19"/>
        <v>0.73150684931506849</v>
      </c>
    </row>
    <row r="270" spans="1:6" x14ac:dyDescent="0.2">
      <c r="A270" s="128">
        <v>42273</v>
      </c>
      <c r="C270">
        <f t="shared" si="20"/>
        <v>268</v>
      </c>
      <c r="D270">
        <f t="shared" si="17"/>
        <v>96</v>
      </c>
      <c r="E270" s="115">
        <f t="shared" si="18"/>
        <v>0.26301369863013696</v>
      </c>
      <c r="F270" s="115">
        <f t="shared" si="19"/>
        <v>0.73424657534246573</v>
      </c>
    </row>
    <row r="271" spans="1:6" x14ac:dyDescent="0.2">
      <c r="A271" s="128">
        <v>42274</v>
      </c>
      <c r="C271">
        <f t="shared" si="20"/>
        <v>269</v>
      </c>
      <c r="D271">
        <f t="shared" si="17"/>
        <v>95</v>
      </c>
      <c r="E271" s="115">
        <f t="shared" si="18"/>
        <v>0.26027397260273971</v>
      </c>
      <c r="F271" s="115">
        <f t="shared" si="19"/>
        <v>0.73698630136986298</v>
      </c>
    </row>
    <row r="272" spans="1:6" x14ac:dyDescent="0.2">
      <c r="A272" s="128">
        <v>42275</v>
      </c>
      <c r="C272">
        <f t="shared" si="20"/>
        <v>270</v>
      </c>
      <c r="D272">
        <f t="shared" si="17"/>
        <v>94</v>
      </c>
      <c r="E272" s="115">
        <f t="shared" si="18"/>
        <v>0.25753424657534246</v>
      </c>
      <c r="F272" s="115">
        <f t="shared" si="19"/>
        <v>0.73972602739726023</v>
      </c>
    </row>
    <row r="273" spans="1:6" x14ac:dyDescent="0.2">
      <c r="A273" s="128">
        <v>42276</v>
      </c>
      <c r="C273">
        <f t="shared" si="20"/>
        <v>271</v>
      </c>
      <c r="D273">
        <f t="shared" si="17"/>
        <v>93</v>
      </c>
      <c r="E273" s="115">
        <f t="shared" si="18"/>
        <v>0.25479452054794521</v>
      </c>
      <c r="F273" s="115">
        <f t="shared" si="19"/>
        <v>0.74246575342465748</v>
      </c>
    </row>
    <row r="274" spans="1:6" x14ac:dyDescent="0.2">
      <c r="A274" s="128">
        <v>42277</v>
      </c>
      <c r="C274">
        <f t="shared" si="20"/>
        <v>272</v>
      </c>
      <c r="D274">
        <f t="shared" si="17"/>
        <v>92</v>
      </c>
      <c r="E274" s="115">
        <f t="shared" si="18"/>
        <v>0.25205479452054796</v>
      </c>
      <c r="F274" s="115">
        <f t="shared" si="19"/>
        <v>0.74520547945205484</v>
      </c>
    </row>
    <row r="275" spans="1:6" x14ac:dyDescent="0.2">
      <c r="A275" s="128">
        <v>42278</v>
      </c>
      <c r="C275">
        <f t="shared" si="20"/>
        <v>273</v>
      </c>
      <c r="D275">
        <f t="shared" si="17"/>
        <v>91</v>
      </c>
      <c r="E275" s="115">
        <f t="shared" si="18"/>
        <v>0.24931506849315069</v>
      </c>
      <c r="F275" s="115">
        <f t="shared" si="19"/>
        <v>0.74794520547945209</v>
      </c>
    </row>
    <row r="276" spans="1:6" x14ac:dyDescent="0.2">
      <c r="A276" s="128">
        <v>42279</v>
      </c>
      <c r="C276">
        <f t="shared" si="20"/>
        <v>274</v>
      </c>
      <c r="D276">
        <f t="shared" si="17"/>
        <v>90</v>
      </c>
      <c r="E276" s="115">
        <f t="shared" si="18"/>
        <v>0.24657534246575341</v>
      </c>
      <c r="F276" s="115">
        <f t="shared" si="19"/>
        <v>0.75068493150684934</v>
      </c>
    </row>
    <row r="277" spans="1:6" x14ac:dyDescent="0.2">
      <c r="A277" s="128">
        <v>42280</v>
      </c>
      <c r="C277">
        <f t="shared" si="20"/>
        <v>275</v>
      </c>
      <c r="D277">
        <f t="shared" si="17"/>
        <v>89</v>
      </c>
      <c r="E277" s="115">
        <f t="shared" si="18"/>
        <v>0.24383561643835616</v>
      </c>
      <c r="F277" s="115">
        <f t="shared" si="19"/>
        <v>0.75342465753424659</v>
      </c>
    </row>
    <row r="278" spans="1:6" x14ac:dyDescent="0.2">
      <c r="A278" s="128">
        <v>42281</v>
      </c>
      <c r="C278">
        <f t="shared" si="20"/>
        <v>276</v>
      </c>
      <c r="D278">
        <f t="shared" si="17"/>
        <v>88</v>
      </c>
      <c r="E278" s="115">
        <f t="shared" si="18"/>
        <v>0.24109589041095891</v>
      </c>
      <c r="F278" s="115">
        <f t="shared" si="19"/>
        <v>0.75616438356164384</v>
      </c>
    </row>
    <row r="279" spans="1:6" x14ac:dyDescent="0.2">
      <c r="A279" s="128">
        <v>42282</v>
      </c>
      <c r="C279">
        <f t="shared" si="20"/>
        <v>277</v>
      </c>
      <c r="D279">
        <f t="shared" si="17"/>
        <v>87</v>
      </c>
      <c r="E279" s="115">
        <f t="shared" si="18"/>
        <v>0.23835616438356164</v>
      </c>
      <c r="F279" s="115">
        <f t="shared" si="19"/>
        <v>0.75890410958904109</v>
      </c>
    </row>
    <row r="280" spans="1:6" x14ac:dyDescent="0.2">
      <c r="A280" s="128">
        <v>42283</v>
      </c>
      <c r="C280">
        <f t="shared" si="20"/>
        <v>278</v>
      </c>
      <c r="D280">
        <f t="shared" si="17"/>
        <v>86</v>
      </c>
      <c r="E280" s="115">
        <f t="shared" si="18"/>
        <v>0.23561643835616439</v>
      </c>
      <c r="F280" s="115">
        <f t="shared" si="19"/>
        <v>0.76164383561643834</v>
      </c>
    </row>
    <row r="281" spans="1:6" x14ac:dyDescent="0.2">
      <c r="A281" s="128">
        <v>42284</v>
      </c>
      <c r="C281">
        <f t="shared" si="20"/>
        <v>279</v>
      </c>
      <c r="D281">
        <f t="shared" si="17"/>
        <v>85</v>
      </c>
      <c r="E281" s="115">
        <f t="shared" si="18"/>
        <v>0.23287671232876711</v>
      </c>
      <c r="F281" s="115">
        <f t="shared" si="19"/>
        <v>0.76438356164383559</v>
      </c>
    </row>
    <row r="282" spans="1:6" x14ac:dyDescent="0.2">
      <c r="A282" s="128">
        <v>42285</v>
      </c>
      <c r="C282">
        <f t="shared" si="20"/>
        <v>280</v>
      </c>
      <c r="D282">
        <f t="shared" si="17"/>
        <v>84</v>
      </c>
      <c r="E282" s="115">
        <f t="shared" si="18"/>
        <v>0.23013698630136986</v>
      </c>
      <c r="F282" s="115">
        <f t="shared" si="19"/>
        <v>0.76712328767123283</v>
      </c>
    </row>
    <row r="283" spans="1:6" x14ac:dyDescent="0.2">
      <c r="A283" s="128">
        <v>42286</v>
      </c>
      <c r="C283">
        <f t="shared" si="20"/>
        <v>281</v>
      </c>
      <c r="D283">
        <f t="shared" si="17"/>
        <v>83</v>
      </c>
      <c r="E283" s="115">
        <f t="shared" si="18"/>
        <v>0.22739726027397261</v>
      </c>
      <c r="F283" s="115">
        <f t="shared" si="19"/>
        <v>0.76986301369863008</v>
      </c>
    </row>
    <row r="284" spans="1:6" x14ac:dyDescent="0.2">
      <c r="A284" s="128">
        <v>42287</v>
      </c>
      <c r="C284">
        <f t="shared" si="20"/>
        <v>282</v>
      </c>
      <c r="D284">
        <f t="shared" si="17"/>
        <v>82</v>
      </c>
      <c r="E284" s="115">
        <f t="shared" si="18"/>
        <v>0.22465753424657534</v>
      </c>
      <c r="F284" s="115">
        <f t="shared" si="19"/>
        <v>0.77260273972602744</v>
      </c>
    </row>
    <row r="285" spans="1:6" x14ac:dyDescent="0.2">
      <c r="A285" s="128">
        <v>42288</v>
      </c>
      <c r="C285">
        <f t="shared" si="20"/>
        <v>283</v>
      </c>
      <c r="D285">
        <f t="shared" ref="D285:D348" si="21">_xlfn.DAYS(A$366,A285)</f>
        <v>81</v>
      </c>
      <c r="E285" s="115">
        <f t="shared" ref="E285:E348" si="22">D285/365</f>
        <v>0.22191780821917809</v>
      </c>
      <c r="F285" s="115">
        <f t="shared" si="19"/>
        <v>0.77534246575342469</v>
      </c>
    </row>
    <row r="286" spans="1:6" x14ac:dyDescent="0.2">
      <c r="A286" s="128">
        <v>42289</v>
      </c>
      <c r="C286">
        <f t="shared" si="20"/>
        <v>284</v>
      </c>
      <c r="D286">
        <f t="shared" si="21"/>
        <v>80</v>
      </c>
      <c r="E286" s="115">
        <f t="shared" si="22"/>
        <v>0.21917808219178081</v>
      </c>
      <c r="F286" s="115">
        <f t="shared" si="19"/>
        <v>0.77808219178082194</v>
      </c>
    </row>
    <row r="287" spans="1:6" x14ac:dyDescent="0.2">
      <c r="A287" s="128">
        <v>42290</v>
      </c>
      <c r="C287">
        <f t="shared" si="20"/>
        <v>285</v>
      </c>
      <c r="D287">
        <f t="shared" si="21"/>
        <v>79</v>
      </c>
      <c r="E287" s="115">
        <f t="shared" si="22"/>
        <v>0.21643835616438356</v>
      </c>
      <c r="F287" s="115">
        <f t="shared" si="19"/>
        <v>0.78082191780821919</v>
      </c>
    </row>
    <row r="288" spans="1:6" x14ac:dyDescent="0.2">
      <c r="A288" s="128">
        <v>42291</v>
      </c>
      <c r="C288">
        <f t="shared" si="20"/>
        <v>286</v>
      </c>
      <c r="D288">
        <f t="shared" si="21"/>
        <v>78</v>
      </c>
      <c r="E288" s="115">
        <f t="shared" si="22"/>
        <v>0.21369863013698631</v>
      </c>
      <c r="F288" s="115">
        <f t="shared" si="19"/>
        <v>0.78356164383561644</v>
      </c>
    </row>
    <row r="289" spans="1:6" x14ac:dyDescent="0.2">
      <c r="A289" s="128">
        <v>42292</v>
      </c>
      <c r="C289">
        <f t="shared" si="20"/>
        <v>287</v>
      </c>
      <c r="D289">
        <f t="shared" si="21"/>
        <v>77</v>
      </c>
      <c r="E289" s="115">
        <f t="shared" si="22"/>
        <v>0.21095890410958903</v>
      </c>
      <c r="F289" s="115">
        <f t="shared" si="19"/>
        <v>0.78630136986301369</v>
      </c>
    </row>
    <row r="290" spans="1:6" x14ac:dyDescent="0.2">
      <c r="A290" s="128">
        <v>42293</v>
      </c>
      <c r="C290">
        <f t="shared" si="20"/>
        <v>288</v>
      </c>
      <c r="D290">
        <f t="shared" si="21"/>
        <v>76</v>
      </c>
      <c r="E290" s="115">
        <f t="shared" si="22"/>
        <v>0.20821917808219179</v>
      </c>
      <c r="F290" s="115">
        <f t="shared" si="19"/>
        <v>0.78904109589041094</v>
      </c>
    </row>
    <row r="291" spans="1:6" x14ac:dyDescent="0.2">
      <c r="A291" s="128">
        <v>42294</v>
      </c>
      <c r="C291">
        <f t="shared" si="20"/>
        <v>289</v>
      </c>
      <c r="D291">
        <f t="shared" si="21"/>
        <v>75</v>
      </c>
      <c r="E291" s="115">
        <f t="shared" si="22"/>
        <v>0.20547945205479451</v>
      </c>
      <c r="F291" s="115">
        <f t="shared" si="19"/>
        <v>0.79178082191780819</v>
      </c>
    </row>
    <row r="292" spans="1:6" x14ac:dyDescent="0.2">
      <c r="A292" s="128">
        <v>42295</v>
      </c>
      <c r="C292">
        <f t="shared" si="20"/>
        <v>290</v>
      </c>
      <c r="D292">
        <f t="shared" si="21"/>
        <v>74</v>
      </c>
      <c r="E292" s="115">
        <f t="shared" si="22"/>
        <v>0.20273972602739726</v>
      </c>
      <c r="F292" s="115">
        <f t="shared" si="19"/>
        <v>0.79452054794520544</v>
      </c>
    </row>
    <row r="293" spans="1:6" x14ac:dyDescent="0.2">
      <c r="A293" s="128">
        <v>42296</v>
      </c>
      <c r="C293">
        <f t="shared" si="20"/>
        <v>291</v>
      </c>
      <c r="D293">
        <f t="shared" si="21"/>
        <v>73</v>
      </c>
      <c r="E293" s="115">
        <f t="shared" si="22"/>
        <v>0.2</v>
      </c>
      <c r="F293" s="115">
        <f t="shared" si="19"/>
        <v>0.79726027397260268</v>
      </c>
    </row>
    <row r="294" spans="1:6" x14ac:dyDescent="0.2">
      <c r="A294" s="128">
        <v>42297</v>
      </c>
      <c r="C294">
        <f t="shared" si="20"/>
        <v>292</v>
      </c>
      <c r="D294">
        <f t="shared" si="21"/>
        <v>72</v>
      </c>
      <c r="E294" s="115">
        <f t="shared" si="22"/>
        <v>0.19726027397260273</v>
      </c>
      <c r="F294" s="115">
        <f t="shared" si="19"/>
        <v>0.8</v>
      </c>
    </row>
    <row r="295" spans="1:6" x14ac:dyDescent="0.2">
      <c r="A295" s="128">
        <v>42298</v>
      </c>
      <c r="C295">
        <f t="shared" si="20"/>
        <v>293</v>
      </c>
      <c r="D295">
        <f t="shared" si="21"/>
        <v>71</v>
      </c>
      <c r="E295" s="115">
        <f t="shared" si="22"/>
        <v>0.19452054794520549</v>
      </c>
      <c r="F295" s="115">
        <f t="shared" si="19"/>
        <v>0.80273972602739729</v>
      </c>
    </row>
    <row r="296" spans="1:6" x14ac:dyDescent="0.2">
      <c r="A296" s="128">
        <v>42299</v>
      </c>
      <c r="C296">
        <f t="shared" si="20"/>
        <v>294</v>
      </c>
      <c r="D296">
        <f t="shared" si="21"/>
        <v>70</v>
      </c>
      <c r="E296" s="115">
        <f t="shared" si="22"/>
        <v>0.19178082191780821</v>
      </c>
      <c r="F296" s="115">
        <f t="shared" si="19"/>
        <v>0.80547945205479454</v>
      </c>
    </row>
    <row r="297" spans="1:6" x14ac:dyDescent="0.2">
      <c r="A297" s="128">
        <v>42300</v>
      </c>
      <c r="C297">
        <f t="shared" si="20"/>
        <v>295</v>
      </c>
      <c r="D297">
        <f t="shared" si="21"/>
        <v>69</v>
      </c>
      <c r="E297" s="115">
        <f t="shared" si="22"/>
        <v>0.18904109589041096</v>
      </c>
      <c r="F297" s="115">
        <f t="shared" si="19"/>
        <v>0.80821917808219179</v>
      </c>
    </row>
    <row r="298" spans="1:6" x14ac:dyDescent="0.2">
      <c r="A298" s="128">
        <v>42301</v>
      </c>
      <c r="C298">
        <f t="shared" si="20"/>
        <v>296</v>
      </c>
      <c r="D298">
        <f t="shared" si="21"/>
        <v>68</v>
      </c>
      <c r="E298" s="115">
        <f t="shared" si="22"/>
        <v>0.18630136986301371</v>
      </c>
      <c r="F298" s="115">
        <f t="shared" si="19"/>
        <v>0.81095890410958904</v>
      </c>
    </row>
    <row r="299" spans="1:6" x14ac:dyDescent="0.2">
      <c r="A299" s="128">
        <v>42302</v>
      </c>
      <c r="C299">
        <f t="shared" si="20"/>
        <v>297</v>
      </c>
      <c r="D299">
        <f t="shared" si="21"/>
        <v>67</v>
      </c>
      <c r="E299" s="115">
        <f t="shared" si="22"/>
        <v>0.18356164383561643</v>
      </c>
      <c r="F299" s="115">
        <f t="shared" si="19"/>
        <v>0.81369863013698629</v>
      </c>
    </row>
    <row r="300" spans="1:6" x14ac:dyDescent="0.2">
      <c r="A300" s="128">
        <v>42303</v>
      </c>
      <c r="C300">
        <f t="shared" si="20"/>
        <v>298</v>
      </c>
      <c r="D300">
        <f t="shared" si="21"/>
        <v>66</v>
      </c>
      <c r="E300" s="115">
        <f t="shared" si="22"/>
        <v>0.18082191780821918</v>
      </c>
      <c r="F300" s="115">
        <f t="shared" si="19"/>
        <v>0.81643835616438354</v>
      </c>
    </row>
    <row r="301" spans="1:6" x14ac:dyDescent="0.2">
      <c r="A301" s="128">
        <v>42304</v>
      </c>
      <c r="C301">
        <f t="shared" si="20"/>
        <v>299</v>
      </c>
      <c r="D301">
        <f t="shared" si="21"/>
        <v>65</v>
      </c>
      <c r="E301" s="115">
        <f t="shared" si="22"/>
        <v>0.17808219178082191</v>
      </c>
      <c r="F301" s="115">
        <f t="shared" si="19"/>
        <v>0.81917808219178079</v>
      </c>
    </row>
    <row r="302" spans="1:6" x14ac:dyDescent="0.2">
      <c r="A302" s="128">
        <v>42305</v>
      </c>
      <c r="C302">
        <f t="shared" si="20"/>
        <v>300</v>
      </c>
      <c r="D302">
        <f t="shared" si="21"/>
        <v>64</v>
      </c>
      <c r="E302" s="115">
        <f t="shared" si="22"/>
        <v>0.17534246575342466</v>
      </c>
      <c r="F302" s="115">
        <f t="shared" si="19"/>
        <v>0.82191780821917804</v>
      </c>
    </row>
    <row r="303" spans="1:6" x14ac:dyDescent="0.2">
      <c r="A303" s="128">
        <v>42306</v>
      </c>
      <c r="C303">
        <f t="shared" si="20"/>
        <v>301</v>
      </c>
      <c r="D303">
        <f t="shared" si="21"/>
        <v>63</v>
      </c>
      <c r="E303" s="115">
        <f t="shared" si="22"/>
        <v>0.17260273972602741</v>
      </c>
      <c r="F303" s="115">
        <f t="shared" si="19"/>
        <v>0.8246575342465754</v>
      </c>
    </row>
    <row r="304" spans="1:6" x14ac:dyDescent="0.2">
      <c r="A304" s="128">
        <v>42307</v>
      </c>
      <c r="C304">
        <f t="shared" si="20"/>
        <v>302</v>
      </c>
      <c r="D304">
        <f t="shared" si="21"/>
        <v>62</v>
      </c>
      <c r="E304" s="115">
        <f t="shared" si="22"/>
        <v>0.16986301369863013</v>
      </c>
      <c r="F304" s="115">
        <f t="shared" si="19"/>
        <v>0.82739726027397265</v>
      </c>
    </row>
    <row r="305" spans="1:6" x14ac:dyDescent="0.2">
      <c r="A305" s="128">
        <v>42308</v>
      </c>
      <c r="C305">
        <f t="shared" si="20"/>
        <v>303</v>
      </c>
      <c r="D305">
        <f t="shared" si="21"/>
        <v>61</v>
      </c>
      <c r="E305" s="115">
        <f t="shared" si="22"/>
        <v>0.16712328767123288</v>
      </c>
      <c r="F305" s="115">
        <f t="shared" si="19"/>
        <v>0.83013698630136989</v>
      </c>
    </row>
    <row r="306" spans="1:6" x14ac:dyDescent="0.2">
      <c r="A306" s="128">
        <v>42309</v>
      </c>
      <c r="C306">
        <f t="shared" si="20"/>
        <v>304</v>
      </c>
      <c r="D306">
        <f t="shared" si="21"/>
        <v>60</v>
      </c>
      <c r="E306" s="115">
        <f t="shared" si="22"/>
        <v>0.16438356164383561</v>
      </c>
      <c r="F306" s="115">
        <f t="shared" si="19"/>
        <v>0.83287671232876714</v>
      </c>
    </row>
    <row r="307" spans="1:6" x14ac:dyDescent="0.2">
      <c r="A307" s="128">
        <v>42310</v>
      </c>
      <c r="C307">
        <f t="shared" si="20"/>
        <v>305</v>
      </c>
      <c r="D307">
        <f t="shared" si="21"/>
        <v>59</v>
      </c>
      <c r="E307" s="115">
        <f t="shared" si="22"/>
        <v>0.16164383561643836</v>
      </c>
      <c r="F307" s="115">
        <f t="shared" si="19"/>
        <v>0.83561643835616439</v>
      </c>
    </row>
    <row r="308" spans="1:6" x14ac:dyDescent="0.2">
      <c r="A308" s="128">
        <v>42311</v>
      </c>
      <c r="C308">
        <f t="shared" si="20"/>
        <v>306</v>
      </c>
      <c r="D308">
        <f t="shared" si="21"/>
        <v>58</v>
      </c>
      <c r="E308" s="115">
        <f t="shared" si="22"/>
        <v>0.15890410958904111</v>
      </c>
      <c r="F308" s="115">
        <f t="shared" si="19"/>
        <v>0.83835616438356164</v>
      </c>
    </row>
    <row r="309" spans="1:6" x14ac:dyDescent="0.2">
      <c r="A309" s="128">
        <v>42312</v>
      </c>
      <c r="C309">
        <f t="shared" si="20"/>
        <v>307</v>
      </c>
      <c r="D309">
        <f t="shared" si="21"/>
        <v>57</v>
      </c>
      <c r="E309" s="115">
        <f t="shared" si="22"/>
        <v>0.15616438356164383</v>
      </c>
      <c r="F309" s="115">
        <f t="shared" si="19"/>
        <v>0.84109589041095889</v>
      </c>
    </row>
    <row r="310" spans="1:6" x14ac:dyDescent="0.2">
      <c r="A310" s="128">
        <v>42313</v>
      </c>
      <c r="C310">
        <f t="shared" si="20"/>
        <v>308</v>
      </c>
      <c r="D310">
        <f t="shared" si="21"/>
        <v>56</v>
      </c>
      <c r="E310" s="115">
        <f t="shared" si="22"/>
        <v>0.15342465753424658</v>
      </c>
      <c r="F310" s="115">
        <f t="shared" si="19"/>
        <v>0.84383561643835614</v>
      </c>
    </row>
    <row r="311" spans="1:6" x14ac:dyDescent="0.2">
      <c r="A311" s="128">
        <v>42314</v>
      </c>
      <c r="C311">
        <f t="shared" si="20"/>
        <v>309</v>
      </c>
      <c r="D311">
        <f t="shared" si="21"/>
        <v>55</v>
      </c>
      <c r="E311" s="115">
        <f t="shared" si="22"/>
        <v>0.15068493150684931</v>
      </c>
      <c r="F311" s="115">
        <f t="shared" si="19"/>
        <v>0.84657534246575339</v>
      </c>
    </row>
    <row r="312" spans="1:6" x14ac:dyDescent="0.2">
      <c r="A312" s="128">
        <v>42315</v>
      </c>
      <c r="C312">
        <f t="shared" si="20"/>
        <v>310</v>
      </c>
      <c r="D312">
        <f t="shared" si="21"/>
        <v>54</v>
      </c>
      <c r="E312" s="115">
        <f t="shared" si="22"/>
        <v>0.14794520547945206</v>
      </c>
      <c r="F312" s="115">
        <f t="shared" si="19"/>
        <v>0.84931506849315064</v>
      </c>
    </row>
    <row r="313" spans="1:6" x14ac:dyDescent="0.2">
      <c r="A313" s="128">
        <v>42316</v>
      </c>
      <c r="C313">
        <f t="shared" si="20"/>
        <v>311</v>
      </c>
      <c r="D313">
        <f t="shared" si="21"/>
        <v>53</v>
      </c>
      <c r="E313" s="115">
        <f t="shared" si="22"/>
        <v>0.14520547945205478</v>
      </c>
      <c r="F313" s="115">
        <f t="shared" si="19"/>
        <v>0.852054794520548</v>
      </c>
    </row>
    <row r="314" spans="1:6" x14ac:dyDescent="0.2">
      <c r="A314" s="128">
        <v>42317</v>
      </c>
      <c r="C314">
        <f t="shared" si="20"/>
        <v>312</v>
      </c>
      <c r="D314">
        <f t="shared" si="21"/>
        <v>52</v>
      </c>
      <c r="E314" s="115">
        <f t="shared" si="22"/>
        <v>0.14246575342465753</v>
      </c>
      <c r="F314" s="115">
        <f t="shared" si="19"/>
        <v>0.85479452054794525</v>
      </c>
    </row>
    <row r="315" spans="1:6" x14ac:dyDescent="0.2">
      <c r="A315" s="128">
        <v>42318</v>
      </c>
      <c r="C315">
        <f t="shared" si="20"/>
        <v>313</v>
      </c>
      <c r="D315">
        <f t="shared" si="21"/>
        <v>51</v>
      </c>
      <c r="E315" s="115">
        <f t="shared" si="22"/>
        <v>0.13972602739726028</v>
      </c>
      <c r="F315" s="115">
        <f t="shared" si="19"/>
        <v>0.8575342465753425</v>
      </c>
    </row>
    <row r="316" spans="1:6" x14ac:dyDescent="0.2">
      <c r="A316" s="128">
        <v>42319</v>
      </c>
      <c r="C316">
        <f t="shared" si="20"/>
        <v>314</v>
      </c>
      <c r="D316">
        <f t="shared" si="21"/>
        <v>50</v>
      </c>
      <c r="E316" s="115">
        <f t="shared" si="22"/>
        <v>0.13698630136986301</v>
      </c>
      <c r="F316" s="115">
        <f t="shared" si="19"/>
        <v>0.86027397260273974</v>
      </c>
    </row>
    <row r="317" spans="1:6" x14ac:dyDescent="0.2">
      <c r="A317" s="128">
        <v>42320</v>
      </c>
      <c r="C317">
        <f t="shared" si="20"/>
        <v>315</v>
      </c>
      <c r="D317">
        <f t="shared" si="21"/>
        <v>49</v>
      </c>
      <c r="E317" s="115">
        <f t="shared" si="22"/>
        <v>0.13424657534246576</v>
      </c>
      <c r="F317" s="115">
        <f t="shared" si="19"/>
        <v>0.86301369863013699</v>
      </c>
    </row>
    <row r="318" spans="1:6" x14ac:dyDescent="0.2">
      <c r="A318" s="128">
        <v>42321</v>
      </c>
      <c r="C318">
        <f t="shared" si="20"/>
        <v>316</v>
      </c>
      <c r="D318">
        <f t="shared" si="21"/>
        <v>48</v>
      </c>
      <c r="E318" s="115">
        <f t="shared" si="22"/>
        <v>0.13150684931506848</v>
      </c>
      <c r="F318" s="115">
        <f t="shared" si="19"/>
        <v>0.86575342465753424</v>
      </c>
    </row>
    <row r="319" spans="1:6" x14ac:dyDescent="0.2">
      <c r="A319" s="128">
        <v>42322</v>
      </c>
      <c r="C319">
        <f t="shared" si="20"/>
        <v>317</v>
      </c>
      <c r="D319">
        <f t="shared" si="21"/>
        <v>47</v>
      </c>
      <c r="E319" s="115">
        <f t="shared" si="22"/>
        <v>0.12876712328767123</v>
      </c>
      <c r="F319" s="115">
        <f t="shared" si="19"/>
        <v>0.86849315068493149</v>
      </c>
    </row>
    <row r="320" spans="1:6" x14ac:dyDescent="0.2">
      <c r="A320" s="128">
        <v>42323</v>
      </c>
      <c r="C320">
        <f t="shared" si="20"/>
        <v>318</v>
      </c>
      <c r="D320">
        <f t="shared" si="21"/>
        <v>46</v>
      </c>
      <c r="E320" s="115">
        <f t="shared" si="22"/>
        <v>0.12602739726027398</v>
      </c>
      <c r="F320" s="115">
        <f t="shared" si="19"/>
        <v>0.87123287671232874</v>
      </c>
    </row>
    <row r="321" spans="1:6" x14ac:dyDescent="0.2">
      <c r="A321" s="128">
        <v>42324</v>
      </c>
      <c r="C321">
        <f t="shared" si="20"/>
        <v>319</v>
      </c>
      <c r="D321">
        <f t="shared" si="21"/>
        <v>45</v>
      </c>
      <c r="E321" s="115">
        <f t="shared" si="22"/>
        <v>0.12328767123287671</v>
      </c>
      <c r="F321" s="115">
        <f t="shared" si="19"/>
        <v>0.87397260273972599</v>
      </c>
    </row>
    <row r="322" spans="1:6" x14ac:dyDescent="0.2">
      <c r="A322" s="128">
        <v>42325</v>
      </c>
      <c r="C322">
        <f t="shared" si="20"/>
        <v>320</v>
      </c>
      <c r="D322">
        <f t="shared" si="21"/>
        <v>44</v>
      </c>
      <c r="E322" s="115">
        <f t="shared" si="22"/>
        <v>0.12054794520547946</v>
      </c>
      <c r="F322" s="115">
        <f t="shared" si="19"/>
        <v>0.87671232876712324</v>
      </c>
    </row>
    <row r="323" spans="1:6" x14ac:dyDescent="0.2">
      <c r="A323" s="128">
        <v>42326</v>
      </c>
      <c r="C323">
        <f t="shared" si="20"/>
        <v>321</v>
      </c>
      <c r="D323">
        <f t="shared" si="21"/>
        <v>43</v>
      </c>
      <c r="E323" s="115">
        <f t="shared" si="22"/>
        <v>0.11780821917808219</v>
      </c>
      <c r="F323" s="115">
        <f t="shared" ref="F323:F366" si="23">C323/365</f>
        <v>0.8794520547945206</v>
      </c>
    </row>
    <row r="324" spans="1:6" x14ac:dyDescent="0.2">
      <c r="A324" s="128">
        <v>42327</v>
      </c>
      <c r="C324">
        <f t="shared" ref="C324:C366" si="24">_xlfn.DAYS(A324,A$2)</f>
        <v>322</v>
      </c>
      <c r="D324">
        <f t="shared" si="21"/>
        <v>42</v>
      </c>
      <c r="E324" s="115">
        <f t="shared" si="22"/>
        <v>0.11506849315068493</v>
      </c>
      <c r="F324" s="115">
        <f t="shared" si="23"/>
        <v>0.88219178082191785</v>
      </c>
    </row>
    <row r="325" spans="1:6" x14ac:dyDescent="0.2">
      <c r="A325" s="128">
        <v>42328</v>
      </c>
      <c r="C325">
        <f t="shared" si="24"/>
        <v>323</v>
      </c>
      <c r="D325">
        <f t="shared" si="21"/>
        <v>41</v>
      </c>
      <c r="E325" s="115">
        <f t="shared" si="22"/>
        <v>0.11232876712328767</v>
      </c>
      <c r="F325" s="115">
        <f t="shared" si="23"/>
        <v>0.8849315068493151</v>
      </c>
    </row>
    <row r="326" spans="1:6" x14ac:dyDescent="0.2">
      <c r="A326" s="128">
        <v>42329</v>
      </c>
      <c r="C326">
        <f t="shared" si="24"/>
        <v>324</v>
      </c>
      <c r="D326">
        <f t="shared" si="21"/>
        <v>40</v>
      </c>
      <c r="E326" s="115">
        <f t="shared" si="22"/>
        <v>0.1095890410958904</v>
      </c>
      <c r="F326" s="115">
        <f t="shared" si="23"/>
        <v>0.88767123287671235</v>
      </c>
    </row>
    <row r="327" spans="1:6" x14ac:dyDescent="0.2">
      <c r="A327" s="128">
        <v>42330</v>
      </c>
      <c r="C327">
        <f t="shared" si="24"/>
        <v>325</v>
      </c>
      <c r="D327">
        <f t="shared" si="21"/>
        <v>39</v>
      </c>
      <c r="E327" s="115">
        <f t="shared" si="22"/>
        <v>0.10684931506849316</v>
      </c>
      <c r="F327" s="115">
        <f t="shared" si="23"/>
        <v>0.8904109589041096</v>
      </c>
    </row>
    <row r="328" spans="1:6" x14ac:dyDescent="0.2">
      <c r="A328" s="128">
        <v>42331</v>
      </c>
      <c r="C328">
        <f t="shared" si="24"/>
        <v>326</v>
      </c>
      <c r="D328">
        <f t="shared" si="21"/>
        <v>38</v>
      </c>
      <c r="E328" s="115">
        <f t="shared" si="22"/>
        <v>0.10410958904109589</v>
      </c>
      <c r="F328" s="115">
        <f t="shared" si="23"/>
        <v>0.89315068493150684</v>
      </c>
    </row>
    <row r="329" spans="1:6" x14ac:dyDescent="0.2">
      <c r="A329" s="128">
        <v>42332</v>
      </c>
      <c r="C329">
        <f t="shared" si="24"/>
        <v>327</v>
      </c>
      <c r="D329">
        <f t="shared" si="21"/>
        <v>37</v>
      </c>
      <c r="E329" s="115">
        <f t="shared" si="22"/>
        <v>0.10136986301369863</v>
      </c>
      <c r="F329" s="115">
        <f t="shared" si="23"/>
        <v>0.89589041095890409</v>
      </c>
    </row>
    <row r="330" spans="1:6" x14ac:dyDescent="0.2">
      <c r="A330" s="128">
        <v>42333</v>
      </c>
      <c r="C330">
        <f t="shared" si="24"/>
        <v>328</v>
      </c>
      <c r="D330">
        <f t="shared" si="21"/>
        <v>36</v>
      </c>
      <c r="E330" s="115">
        <f t="shared" si="22"/>
        <v>9.8630136986301367E-2</v>
      </c>
      <c r="F330" s="115">
        <f t="shared" si="23"/>
        <v>0.89863013698630134</v>
      </c>
    </row>
    <row r="331" spans="1:6" x14ac:dyDescent="0.2">
      <c r="A331" s="128">
        <v>42334</v>
      </c>
      <c r="C331">
        <f t="shared" si="24"/>
        <v>329</v>
      </c>
      <c r="D331">
        <f t="shared" si="21"/>
        <v>35</v>
      </c>
      <c r="E331" s="115">
        <f t="shared" si="22"/>
        <v>9.5890410958904104E-2</v>
      </c>
      <c r="F331" s="115">
        <f t="shared" si="23"/>
        <v>0.90136986301369859</v>
      </c>
    </row>
    <row r="332" spans="1:6" x14ac:dyDescent="0.2">
      <c r="A332" s="128">
        <v>42335</v>
      </c>
      <c r="C332">
        <f t="shared" si="24"/>
        <v>330</v>
      </c>
      <c r="D332">
        <f t="shared" si="21"/>
        <v>34</v>
      </c>
      <c r="E332" s="115">
        <f t="shared" si="22"/>
        <v>9.3150684931506855E-2</v>
      </c>
      <c r="F332" s="115">
        <f t="shared" si="23"/>
        <v>0.90410958904109584</v>
      </c>
    </row>
    <row r="333" spans="1:6" x14ac:dyDescent="0.2">
      <c r="A333" s="128">
        <v>42336</v>
      </c>
      <c r="C333">
        <f t="shared" si="24"/>
        <v>331</v>
      </c>
      <c r="D333">
        <f t="shared" si="21"/>
        <v>33</v>
      </c>
      <c r="E333" s="115">
        <f t="shared" si="22"/>
        <v>9.0410958904109592E-2</v>
      </c>
      <c r="F333" s="115">
        <f t="shared" si="23"/>
        <v>0.9068493150684932</v>
      </c>
    </row>
    <row r="334" spans="1:6" x14ac:dyDescent="0.2">
      <c r="A334" s="128">
        <v>42337</v>
      </c>
      <c r="C334">
        <f t="shared" si="24"/>
        <v>332</v>
      </c>
      <c r="D334">
        <f t="shared" si="21"/>
        <v>32</v>
      </c>
      <c r="E334" s="115">
        <f t="shared" si="22"/>
        <v>8.7671232876712329E-2</v>
      </c>
      <c r="F334" s="115">
        <f t="shared" si="23"/>
        <v>0.90958904109589045</v>
      </c>
    </row>
    <row r="335" spans="1:6" x14ac:dyDescent="0.2">
      <c r="A335" s="128">
        <v>42338</v>
      </c>
      <c r="C335">
        <f t="shared" si="24"/>
        <v>333</v>
      </c>
      <c r="D335">
        <f t="shared" si="21"/>
        <v>31</v>
      </c>
      <c r="E335" s="115">
        <f t="shared" si="22"/>
        <v>8.4931506849315067E-2</v>
      </c>
      <c r="F335" s="115">
        <f t="shared" si="23"/>
        <v>0.9123287671232877</v>
      </c>
    </row>
    <row r="336" spans="1:6" x14ac:dyDescent="0.2">
      <c r="A336" s="128">
        <v>42339</v>
      </c>
      <c r="C336">
        <f t="shared" si="24"/>
        <v>334</v>
      </c>
      <c r="D336">
        <f t="shared" si="21"/>
        <v>30</v>
      </c>
      <c r="E336" s="115">
        <f t="shared" si="22"/>
        <v>8.2191780821917804E-2</v>
      </c>
      <c r="F336" s="115">
        <f t="shared" si="23"/>
        <v>0.91506849315068495</v>
      </c>
    </row>
    <row r="337" spans="1:6" x14ac:dyDescent="0.2">
      <c r="A337" s="128">
        <v>42340</v>
      </c>
      <c r="C337">
        <f t="shared" si="24"/>
        <v>335</v>
      </c>
      <c r="D337">
        <f t="shared" si="21"/>
        <v>29</v>
      </c>
      <c r="E337" s="115">
        <f t="shared" si="22"/>
        <v>7.9452054794520555E-2</v>
      </c>
      <c r="F337" s="115">
        <f t="shared" si="23"/>
        <v>0.9178082191780822</v>
      </c>
    </row>
    <row r="338" spans="1:6" x14ac:dyDescent="0.2">
      <c r="A338" s="128">
        <v>42341</v>
      </c>
      <c r="C338">
        <f t="shared" si="24"/>
        <v>336</v>
      </c>
      <c r="D338">
        <f t="shared" si="21"/>
        <v>28</v>
      </c>
      <c r="E338" s="115">
        <f t="shared" si="22"/>
        <v>7.6712328767123292E-2</v>
      </c>
      <c r="F338" s="115">
        <f t="shared" si="23"/>
        <v>0.92054794520547945</v>
      </c>
    </row>
    <row r="339" spans="1:6" x14ac:dyDescent="0.2">
      <c r="A339" s="128">
        <v>42342</v>
      </c>
      <c r="C339">
        <f t="shared" si="24"/>
        <v>337</v>
      </c>
      <c r="D339">
        <f t="shared" si="21"/>
        <v>27</v>
      </c>
      <c r="E339" s="115">
        <f t="shared" si="22"/>
        <v>7.3972602739726029E-2</v>
      </c>
      <c r="F339" s="115">
        <f t="shared" si="23"/>
        <v>0.92328767123287669</v>
      </c>
    </row>
    <row r="340" spans="1:6" x14ac:dyDescent="0.2">
      <c r="A340" s="128">
        <v>42343</v>
      </c>
      <c r="C340">
        <f t="shared" si="24"/>
        <v>338</v>
      </c>
      <c r="D340">
        <f t="shared" si="21"/>
        <v>26</v>
      </c>
      <c r="E340" s="115">
        <f t="shared" si="22"/>
        <v>7.1232876712328766E-2</v>
      </c>
      <c r="F340" s="115">
        <f t="shared" si="23"/>
        <v>0.92602739726027394</v>
      </c>
    </row>
    <row r="341" spans="1:6" x14ac:dyDescent="0.2">
      <c r="A341" s="128">
        <v>42344</v>
      </c>
      <c r="C341">
        <f t="shared" si="24"/>
        <v>339</v>
      </c>
      <c r="D341">
        <f t="shared" si="21"/>
        <v>25</v>
      </c>
      <c r="E341" s="115">
        <f t="shared" si="22"/>
        <v>6.8493150684931503E-2</v>
      </c>
      <c r="F341" s="115">
        <f t="shared" si="23"/>
        <v>0.92876712328767119</v>
      </c>
    </row>
    <row r="342" spans="1:6" x14ac:dyDescent="0.2">
      <c r="A342" s="128">
        <v>42345</v>
      </c>
      <c r="C342">
        <f t="shared" si="24"/>
        <v>340</v>
      </c>
      <c r="D342">
        <f t="shared" si="21"/>
        <v>24</v>
      </c>
      <c r="E342" s="115">
        <f t="shared" si="22"/>
        <v>6.575342465753424E-2</v>
      </c>
      <c r="F342" s="115">
        <f t="shared" si="23"/>
        <v>0.93150684931506844</v>
      </c>
    </row>
    <row r="343" spans="1:6" x14ac:dyDescent="0.2">
      <c r="A343" s="128">
        <v>42346</v>
      </c>
      <c r="C343">
        <f t="shared" si="24"/>
        <v>341</v>
      </c>
      <c r="D343">
        <f t="shared" si="21"/>
        <v>23</v>
      </c>
      <c r="E343" s="115">
        <f t="shared" si="22"/>
        <v>6.3013698630136991E-2</v>
      </c>
      <c r="F343" s="115">
        <f t="shared" si="23"/>
        <v>0.9342465753424658</v>
      </c>
    </row>
    <row r="344" spans="1:6" x14ac:dyDescent="0.2">
      <c r="A344" s="128">
        <v>42347</v>
      </c>
      <c r="C344">
        <f t="shared" si="24"/>
        <v>342</v>
      </c>
      <c r="D344">
        <f t="shared" si="21"/>
        <v>22</v>
      </c>
      <c r="E344" s="115">
        <f t="shared" si="22"/>
        <v>6.0273972602739728E-2</v>
      </c>
      <c r="F344" s="115">
        <f t="shared" si="23"/>
        <v>0.93698630136986305</v>
      </c>
    </row>
    <row r="345" spans="1:6" x14ac:dyDescent="0.2">
      <c r="A345" s="128">
        <v>42348</v>
      </c>
      <c r="C345">
        <f t="shared" si="24"/>
        <v>343</v>
      </c>
      <c r="D345">
        <f t="shared" si="21"/>
        <v>21</v>
      </c>
      <c r="E345" s="115">
        <f t="shared" si="22"/>
        <v>5.7534246575342465E-2</v>
      </c>
      <c r="F345" s="115">
        <f t="shared" si="23"/>
        <v>0.9397260273972603</v>
      </c>
    </row>
    <row r="346" spans="1:6" x14ac:dyDescent="0.2">
      <c r="A346" s="128">
        <v>42349</v>
      </c>
      <c r="C346">
        <f t="shared" si="24"/>
        <v>344</v>
      </c>
      <c r="D346">
        <f t="shared" si="21"/>
        <v>20</v>
      </c>
      <c r="E346" s="115">
        <f t="shared" si="22"/>
        <v>5.4794520547945202E-2</v>
      </c>
      <c r="F346" s="115">
        <f t="shared" si="23"/>
        <v>0.94246575342465755</v>
      </c>
    </row>
    <row r="347" spans="1:6" x14ac:dyDescent="0.2">
      <c r="A347" s="128">
        <v>42350</v>
      </c>
      <c r="C347">
        <f t="shared" si="24"/>
        <v>345</v>
      </c>
      <c r="D347">
        <f t="shared" si="21"/>
        <v>19</v>
      </c>
      <c r="E347" s="115">
        <f t="shared" si="22"/>
        <v>5.2054794520547946E-2</v>
      </c>
      <c r="F347" s="115">
        <f t="shared" si="23"/>
        <v>0.9452054794520548</v>
      </c>
    </row>
    <row r="348" spans="1:6" x14ac:dyDescent="0.2">
      <c r="A348" s="128">
        <v>42351</v>
      </c>
      <c r="C348">
        <f t="shared" si="24"/>
        <v>346</v>
      </c>
      <c r="D348">
        <f t="shared" si="21"/>
        <v>18</v>
      </c>
      <c r="E348" s="115">
        <f t="shared" si="22"/>
        <v>4.9315068493150684E-2</v>
      </c>
      <c r="F348" s="115">
        <f t="shared" si="23"/>
        <v>0.94794520547945205</v>
      </c>
    </row>
    <row r="349" spans="1:6" x14ac:dyDescent="0.2">
      <c r="A349" s="128">
        <v>42352</v>
      </c>
      <c r="C349">
        <f t="shared" si="24"/>
        <v>347</v>
      </c>
      <c r="D349">
        <f t="shared" ref="D349:D366" si="25">_xlfn.DAYS(A$366,A349)</f>
        <v>17</v>
      </c>
      <c r="E349" s="115">
        <f t="shared" ref="E349:E366" si="26">D349/365</f>
        <v>4.6575342465753428E-2</v>
      </c>
      <c r="F349" s="115">
        <f t="shared" si="23"/>
        <v>0.9506849315068493</v>
      </c>
    </row>
    <row r="350" spans="1:6" x14ac:dyDescent="0.2">
      <c r="A350" s="128">
        <v>42353</v>
      </c>
      <c r="C350">
        <f t="shared" si="24"/>
        <v>348</v>
      </c>
      <c r="D350">
        <f t="shared" si="25"/>
        <v>16</v>
      </c>
      <c r="E350" s="115">
        <f t="shared" si="26"/>
        <v>4.3835616438356165E-2</v>
      </c>
      <c r="F350" s="115">
        <f t="shared" si="23"/>
        <v>0.95342465753424654</v>
      </c>
    </row>
    <row r="351" spans="1:6" x14ac:dyDescent="0.2">
      <c r="A351" s="128">
        <v>42354</v>
      </c>
      <c r="C351">
        <f t="shared" si="24"/>
        <v>349</v>
      </c>
      <c r="D351">
        <f t="shared" si="25"/>
        <v>15</v>
      </c>
      <c r="E351" s="115">
        <f t="shared" si="26"/>
        <v>4.1095890410958902E-2</v>
      </c>
      <c r="F351" s="115">
        <f t="shared" si="23"/>
        <v>0.95616438356164379</v>
      </c>
    </row>
    <row r="352" spans="1:6" x14ac:dyDescent="0.2">
      <c r="A352" s="128">
        <v>42355</v>
      </c>
      <c r="C352">
        <f t="shared" si="24"/>
        <v>350</v>
      </c>
      <c r="D352">
        <f t="shared" si="25"/>
        <v>14</v>
      </c>
      <c r="E352" s="115">
        <f t="shared" si="26"/>
        <v>3.8356164383561646E-2</v>
      </c>
      <c r="F352" s="115">
        <f t="shared" si="23"/>
        <v>0.95890410958904104</v>
      </c>
    </row>
    <row r="353" spans="1:6" x14ac:dyDescent="0.2">
      <c r="A353" s="128">
        <v>42356</v>
      </c>
      <c r="C353">
        <f t="shared" si="24"/>
        <v>351</v>
      </c>
      <c r="D353">
        <f t="shared" si="25"/>
        <v>13</v>
      </c>
      <c r="E353" s="115">
        <f t="shared" si="26"/>
        <v>3.5616438356164383E-2</v>
      </c>
      <c r="F353" s="115">
        <f t="shared" si="23"/>
        <v>0.9616438356164384</v>
      </c>
    </row>
    <row r="354" spans="1:6" x14ac:dyDescent="0.2">
      <c r="A354" s="128">
        <v>42357</v>
      </c>
      <c r="C354">
        <f t="shared" si="24"/>
        <v>352</v>
      </c>
      <c r="D354">
        <f t="shared" si="25"/>
        <v>12</v>
      </c>
      <c r="E354" s="115">
        <f t="shared" si="26"/>
        <v>3.287671232876712E-2</v>
      </c>
      <c r="F354" s="115">
        <f t="shared" si="23"/>
        <v>0.96438356164383565</v>
      </c>
    </row>
    <row r="355" spans="1:6" x14ac:dyDescent="0.2">
      <c r="A355" s="128">
        <v>42358</v>
      </c>
      <c r="C355">
        <f t="shared" si="24"/>
        <v>353</v>
      </c>
      <c r="D355">
        <f t="shared" si="25"/>
        <v>11</v>
      </c>
      <c r="E355" s="115">
        <f t="shared" si="26"/>
        <v>3.0136986301369864E-2</v>
      </c>
      <c r="F355" s="115">
        <f t="shared" si="23"/>
        <v>0.9671232876712329</v>
      </c>
    </row>
    <row r="356" spans="1:6" x14ac:dyDescent="0.2">
      <c r="A356" s="128">
        <v>42359</v>
      </c>
      <c r="C356">
        <f t="shared" si="24"/>
        <v>354</v>
      </c>
      <c r="D356">
        <f t="shared" si="25"/>
        <v>10</v>
      </c>
      <c r="E356" s="115">
        <f t="shared" si="26"/>
        <v>2.7397260273972601E-2</v>
      </c>
      <c r="F356" s="115">
        <f t="shared" si="23"/>
        <v>0.96986301369863015</v>
      </c>
    </row>
    <row r="357" spans="1:6" x14ac:dyDescent="0.2">
      <c r="A357" s="128">
        <v>42360</v>
      </c>
      <c r="C357">
        <f t="shared" si="24"/>
        <v>355</v>
      </c>
      <c r="D357">
        <f t="shared" si="25"/>
        <v>9</v>
      </c>
      <c r="E357" s="115">
        <f t="shared" si="26"/>
        <v>2.4657534246575342E-2</v>
      </c>
      <c r="F357" s="115">
        <f t="shared" si="23"/>
        <v>0.9726027397260274</v>
      </c>
    </row>
    <row r="358" spans="1:6" x14ac:dyDescent="0.2">
      <c r="A358" s="128">
        <v>42361</v>
      </c>
      <c r="C358">
        <f t="shared" si="24"/>
        <v>356</v>
      </c>
      <c r="D358">
        <f t="shared" si="25"/>
        <v>8</v>
      </c>
      <c r="E358" s="115">
        <f t="shared" si="26"/>
        <v>2.1917808219178082E-2</v>
      </c>
      <c r="F358" s="115">
        <f t="shared" si="23"/>
        <v>0.97534246575342465</v>
      </c>
    </row>
    <row r="359" spans="1:6" x14ac:dyDescent="0.2">
      <c r="A359" s="128">
        <v>42362</v>
      </c>
      <c r="C359">
        <f t="shared" si="24"/>
        <v>357</v>
      </c>
      <c r="D359">
        <f t="shared" si="25"/>
        <v>7</v>
      </c>
      <c r="E359" s="115">
        <f t="shared" si="26"/>
        <v>1.9178082191780823E-2</v>
      </c>
      <c r="F359" s="115">
        <f t="shared" si="23"/>
        <v>0.9780821917808219</v>
      </c>
    </row>
    <row r="360" spans="1:6" x14ac:dyDescent="0.2">
      <c r="A360" s="128">
        <v>42363</v>
      </c>
      <c r="C360">
        <f t="shared" si="24"/>
        <v>358</v>
      </c>
      <c r="D360">
        <f t="shared" si="25"/>
        <v>6</v>
      </c>
      <c r="E360" s="115">
        <f t="shared" si="26"/>
        <v>1.643835616438356E-2</v>
      </c>
      <c r="F360" s="115">
        <f t="shared" si="23"/>
        <v>0.98082191780821915</v>
      </c>
    </row>
    <row r="361" spans="1:6" x14ac:dyDescent="0.2">
      <c r="A361" s="128">
        <v>42364</v>
      </c>
      <c r="C361">
        <f t="shared" si="24"/>
        <v>359</v>
      </c>
      <c r="D361">
        <f t="shared" si="25"/>
        <v>5</v>
      </c>
      <c r="E361" s="115">
        <f t="shared" si="26"/>
        <v>1.3698630136986301E-2</v>
      </c>
      <c r="F361" s="115">
        <f t="shared" si="23"/>
        <v>0.98356164383561639</v>
      </c>
    </row>
    <row r="362" spans="1:6" x14ac:dyDescent="0.2">
      <c r="A362" s="128">
        <v>42365</v>
      </c>
      <c r="C362">
        <f t="shared" si="24"/>
        <v>360</v>
      </c>
      <c r="D362">
        <f t="shared" si="25"/>
        <v>4</v>
      </c>
      <c r="E362" s="115">
        <f t="shared" si="26"/>
        <v>1.0958904109589041E-2</v>
      </c>
      <c r="F362" s="115">
        <f t="shared" si="23"/>
        <v>0.98630136986301364</v>
      </c>
    </row>
    <row r="363" spans="1:6" x14ac:dyDescent="0.2">
      <c r="A363" s="128">
        <v>42366</v>
      </c>
      <c r="C363">
        <f t="shared" si="24"/>
        <v>361</v>
      </c>
      <c r="D363">
        <f t="shared" si="25"/>
        <v>3</v>
      </c>
      <c r="E363" s="115">
        <f t="shared" si="26"/>
        <v>8.21917808219178E-3</v>
      </c>
      <c r="F363" s="115">
        <f t="shared" si="23"/>
        <v>0.989041095890411</v>
      </c>
    </row>
    <row r="364" spans="1:6" x14ac:dyDescent="0.2">
      <c r="A364" s="128">
        <v>42367</v>
      </c>
      <c r="C364">
        <f t="shared" si="24"/>
        <v>362</v>
      </c>
      <c r="D364">
        <f t="shared" si="25"/>
        <v>2</v>
      </c>
      <c r="E364" s="115">
        <f t="shared" si="26"/>
        <v>5.4794520547945206E-3</v>
      </c>
      <c r="F364" s="115">
        <f t="shared" si="23"/>
        <v>0.99178082191780825</v>
      </c>
    </row>
    <row r="365" spans="1:6" x14ac:dyDescent="0.2">
      <c r="A365" s="128">
        <v>42368</v>
      </c>
      <c r="C365">
        <f t="shared" si="24"/>
        <v>363</v>
      </c>
      <c r="D365">
        <f t="shared" si="25"/>
        <v>1</v>
      </c>
      <c r="E365" s="115">
        <f t="shared" si="26"/>
        <v>2.7397260273972603E-3</v>
      </c>
      <c r="F365" s="115">
        <f t="shared" si="23"/>
        <v>0.9945205479452055</v>
      </c>
    </row>
    <row r="366" spans="1:6" x14ac:dyDescent="0.2">
      <c r="A366" s="128">
        <v>42369</v>
      </c>
      <c r="C366">
        <f t="shared" si="24"/>
        <v>364</v>
      </c>
      <c r="D366">
        <f t="shared" si="25"/>
        <v>0</v>
      </c>
      <c r="E366" s="115">
        <f t="shared" si="26"/>
        <v>0</v>
      </c>
      <c r="F366" s="115">
        <f t="shared" si="23"/>
        <v>0.99726027397260275</v>
      </c>
    </row>
  </sheetData>
  <pageMargins left="0.7" right="0.7" top="0.75" bottom="0.75" header="0.3" footer="0.3"/>
  <pageSetup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topLeftCell="A5" workbookViewId="0">
      <selection activeCell="L17" sqref="L17"/>
    </sheetView>
  </sheetViews>
  <sheetFormatPr defaultRowHeight="12.75" x14ac:dyDescent="0.2"/>
  <cols>
    <col min="1" max="1" width="23.5703125" customWidth="1"/>
    <col min="2" max="2" width="11.7109375" customWidth="1"/>
    <col min="3" max="10" width="11.42578125" customWidth="1"/>
    <col min="11" max="11" width="12.42578125" customWidth="1"/>
    <col min="257" max="257" width="23.5703125" customWidth="1"/>
    <col min="258" max="258" width="11.7109375" customWidth="1"/>
    <col min="259" max="266" width="11.42578125" customWidth="1"/>
    <col min="267" max="267" width="12.42578125" customWidth="1"/>
    <col min="513" max="513" width="23.5703125" customWidth="1"/>
    <col min="514" max="514" width="11.7109375" customWidth="1"/>
    <col min="515" max="522" width="11.42578125" customWidth="1"/>
    <col min="523" max="523" width="12.42578125" customWidth="1"/>
    <col min="769" max="769" width="23.5703125" customWidth="1"/>
    <col min="770" max="770" width="11.7109375" customWidth="1"/>
    <col min="771" max="778" width="11.42578125" customWidth="1"/>
    <col min="779" max="779" width="12.42578125" customWidth="1"/>
    <col min="1025" max="1025" width="23.5703125" customWidth="1"/>
    <col min="1026" max="1026" width="11.7109375" customWidth="1"/>
    <col min="1027" max="1034" width="11.42578125" customWidth="1"/>
    <col min="1035" max="1035" width="12.42578125" customWidth="1"/>
    <col min="1281" max="1281" width="23.5703125" customWidth="1"/>
    <col min="1282" max="1282" width="11.7109375" customWidth="1"/>
    <col min="1283" max="1290" width="11.42578125" customWidth="1"/>
    <col min="1291" max="1291" width="12.42578125" customWidth="1"/>
    <col min="1537" max="1537" width="23.5703125" customWidth="1"/>
    <col min="1538" max="1538" width="11.7109375" customWidth="1"/>
    <col min="1539" max="1546" width="11.42578125" customWidth="1"/>
    <col min="1547" max="1547" width="12.42578125" customWidth="1"/>
    <col min="1793" max="1793" width="23.5703125" customWidth="1"/>
    <col min="1794" max="1794" width="11.7109375" customWidth="1"/>
    <col min="1795" max="1802" width="11.42578125" customWidth="1"/>
    <col min="1803" max="1803" width="12.42578125" customWidth="1"/>
    <col min="2049" max="2049" width="23.5703125" customWidth="1"/>
    <col min="2050" max="2050" width="11.7109375" customWidth="1"/>
    <col min="2051" max="2058" width="11.42578125" customWidth="1"/>
    <col min="2059" max="2059" width="12.42578125" customWidth="1"/>
    <col min="2305" max="2305" width="23.5703125" customWidth="1"/>
    <col min="2306" max="2306" width="11.7109375" customWidth="1"/>
    <col min="2307" max="2314" width="11.42578125" customWidth="1"/>
    <col min="2315" max="2315" width="12.42578125" customWidth="1"/>
    <col min="2561" max="2561" width="23.5703125" customWidth="1"/>
    <col min="2562" max="2562" width="11.7109375" customWidth="1"/>
    <col min="2563" max="2570" width="11.42578125" customWidth="1"/>
    <col min="2571" max="2571" width="12.42578125" customWidth="1"/>
    <col min="2817" max="2817" width="23.5703125" customWidth="1"/>
    <col min="2818" max="2818" width="11.7109375" customWidth="1"/>
    <col min="2819" max="2826" width="11.42578125" customWidth="1"/>
    <col min="2827" max="2827" width="12.42578125" customWidth="1"/>
    <col min="3073" max="3073" width="23.5703125" customWidth="1"/>
    <col min="3074" max="3074" width="11.7109375" customWidth="1"/>
    <col min="3075" max="3082" width="11.42578125" customWidth="1"/>
    <col min="3083" max="3083" width="12.42578125" customWidth="1"/>
    <col min="3329" max="3329" width="23.5703125" customWidth="1"/>
    <col min="3330" max="3330" width="11.7109375" customWidth="1"/>
    <col min="3331" max="3338" width="11.42578125" customWidth="1"/>
    <col min="3339" max="3339" width="12.42578125" customWidth="1"/>
    <col min="3585" max="3585" width="23.5703125" customWidth="1"/>
    <col min="3586" max="3586" width="11.7109375" customWidth="1"/>
    <col min="3587" max="3594" width="11.42578125" customWidth="1"/>
    <col min="3595" max="3595" width="12.42578125" customWidth="1"/>
    <col min="3841" max="3841" width="23.5703125" customWidth="1"/>
    <col min="3842" max="3842" width="11.7109375" customWidth="1"/>
    <col min="3843" max="3850" width="11.42578125" customWidth="1"/>
    <col min="3851" max="3851" width="12.42578125" customWidth="1"/>
    <col min="4097" max="4097" width="23.5703125" customWidth="1"/>
    <col min="4098" max="4098" width="11.7109375" customWidth="1"/>
    <col min="4099" max="4106" width="11.42578125" customWidth="1"/>
    <col min="4107" max="4107" width="12.42578125" customWidth="1"/>
    <col min="4353" max="4353" width="23.5703125" customWidth="1"/>
    <col min="4354" max="4354" width="11.7109375" customWidth="1"/>
    <col min="4355" max="4362" width="11.42578125" customWidth="1"/>
    <col min="4363" max="4363" width="12.42578125" customWidth="1"/>
    <col min="4609" max="4609" width="23.5703125" customWidth="1"/>
    <col min="4610" max="4610" width="11.7109375" customWidth="1"/>
    <col min="4611" max="4618" width="11.42578125" customWidth="1"/>
    <col min="4619" max="4619" width="12.42578125" customWidth="1"/>
    <col min="4865" max="4865" width="23.5703125" customWidth="1"/>
    <col min="4866" max="4866" width="11.7109375" customWidth="1"/>
    <col min="4867" max="4874" width="11.42578125" customWidth="1"/>
    <col min="4875" max="4875" width="12.42578125" customWidth="1"/>
    <col min="5121" max="5121" width="23.5703125" customWidth="1"/>
    <col min="5122" max="5122" width="11.7109375" customWidth="1"/>
    <col min="5123" max="5130" width="11.42578125" customWidth="1"/>
    <col min="5131" max="5131" width="12.42578125" customWidth="1"/>
    <col min="5377" max="5377" width="23.5703125" customWidth="1"/>
    <col min="5378" max="5378" width="11.7109375" customWidth="1"/>
    <col min="5379" max="5386" width="11.42578125" customWidth="1"/>
    <col min="5387" max="5387" width="12.42578125" customWidth="1"/>
    <col min="5633" max="5633" width="23.5703125" customWidth="1"/>
    <col min="5634" max="5634" width="11.7109375" customWidth="1"/>
    <col min="5635" max="5642" width="11.42578125" customWidth="1"/>
    <col min="5643" max="5643" width="12.42578125" customWidth="1"/>
    <col min="5889" max="5889" width="23.5703125" customWidth="1"/>
    <col min="5890" max="5890" width="11.7109375" customWidth="1"/>
    <col min="5891" max="5898" width="11.42578125" customWidth="1"/>
    <col min="5899" max="5899" width="12.42578125" customWidth="1"/>
    <col min="6145" max="6145" width="23.5703125" customWidth="1"/>
    <col min="6146" max="6146" width="11.7109375" customWidth="1"/>
    <col min="6147" max="6154" width="11.42578125" customWidth="1"/>
    <col min="6155" max="6155" width="12.42578125" customWidth="1"/>
    <col min="6401" max="6401" width="23.5703125" customWidth="1"/>
    <col min="6402" max="6402" width="11.7109375" customWidth="1"/>
    <col min="6403" max="6410" width="11.42578125" customWidth="1"/>
    <col min="6411" max="6411" width="12.42578125" customWidth="1"/>
    <col min="6657" max="6657" width="23.5703125" customWidth="1"/>
    <col min="6658" max="6658" width="11.7109375" customWidth="1"/>
    <col min="6659" max="6666" width="11.42578125" customWidth="1"/>
    <col min="6667" max="6667" width="12.42578125" customWidth="1"/>
    <col min="6913" max="6913" width="23.5703125" customWidth="1"/>
    <col min="6914" max="6914" width="11.7109375" customWidth="1"/>
    <col min="6915" max="6922" width="11.42578125" customWidth="1"/>
    <col min="6923" max="6923" width="12.42578125" customWidth="1"/>
    <col min="7169" max="7169" width="23.5703125" customWidth="1"/>
    <col min="7170" max="7170" width="11.7109375" customWidth="1"/>
    <col min="7171" max="7178" width="11.42578125" customWidth="1"/>
    <col min="7179" max="7179" width="12.42578125" customWidth="1"/>
    <col min="7425" max="7425" width="23.5703125" customWidth="1"/>
    <col min="7426" max="7426" width="11.7109375" customWidth="1"/>
    <col min="7427" max="7434" width="11.42578125" customWidth="1"/>
    <col min="7435" max="7435" width="12.42578125" customWidth="1"/>
    <col min="7681" max="7681" width="23.5703125" customWidth="1"/>
    <col min="7682" max="7682" width="11.7109375" customWidth="1"/>
    <col min="7683" max="7690" width="11.42578125" customWidth="1"/>
    <col min="7691" max="7691" width="12.42578125" customWidth="1"/>
    <col min="7937" max="7937" width="23.5703125" customWidth="1"/>
    <col min="7938" max="7938" width="11.7109375" customWidth="1"/>
    <col min="7939" max="7946" width="11.42578125" customWidth="1"/>
    <col min="7947" max="7947" width="12.42578125" customWidth="1"/>
    <col min="8193" max="8193" width="23.5703125" customWidth="1"/>
    <col min="8194" max="8194" width="11.7109375" customWidth="1"/>
    <col min="8195" max="8202" width="11.42578125" customWidth="1"/>
    <col min="8203" max="8203" width="12.42578125" customWidth="1"/>
    <col min="8449" max="8449" width="23.5703125" customWidth="1"/>
    <col min="8450" max="8450" width="11.7109375" customWidth="1"/>
    <col min="8451" max="8458" width="11.42578125" customWidth="1"/>
    <col min="8459" max="8459" width="12.42578125" customWidth="1"/>
    <col min="8705" max="8705" width="23.5703125" customWidth="1"/>
    <col min="8706" max="8706" width="11.7109375" customWidth="1"/>
    <col min="8707" max="8714" width="11.42578125" customWidth="1"/>
    <col min="8715" max="8715" width="12.42578125" customWidth="1"/>
    <col min="8961" max="8961" width="23.5703125" customWidth="1"/>
    <col min="8962" max="8962" width="11.7109375" customWidth="1"/>
    <col min="8963" max="8970" width="11.42578125" customWidth="1"/>
    <col min="8971" max="8971" width="12.42578125" customWidth="1"/>
    <col min="9217" max="9217" width="23.5703125" customWidth="1"/>
    <col min="9218" max="9218" width="11.7109375" customWidth="1"/>
    <col min="9219" max="9226" width="11.42578125" customWidth="1"/>
    <col min="9227" max="9227" width="12.42578125" customWidth="1"/>
    <col min="9473" max="9473" width="23.5703125" customWidth="1"/>
    <col min="9474" max="9474" width="11.7109375" customWidth="1"/>
    <col min="9475" max="9482" width="11.42578125" customWidth="1"/>
    <col min="9483" max="9483" width="12.42578125" customWidth="1"/>
    <col min="9729" max="9729" width="23.5703125" customWidth="1"/>
    <col min="9730" max="9730" width="11.7109375" customWidth="1"/>
    <col min="9731" max="9738" width="11.42578125" customWidth="1"/>
    <col min="9739" max="9739" width="12.42578125" customWidth="1"/>
    <col min="9985" max="9985" width="23.5703125" customWidth="1"/>
    <col min="9986" max="9986" width="11.7109375" customWidth="1"/>
    <col min="9987" max="9994" width="11.42578125" customWidth="1"/>
    <col min="9995" max="9995" width="12.42578125" customWidth="1"/>
    <col min="10241" max="10241" width="23.5703125" customWidth="1"/>
    <col min="10242" max="10242" width="11.7109375" customWidth="1"/>
    <col min="10243" max="10250" width="11.42578125" customWidth="1"/>
    <col min="10251" max="10251" width="12.42578125" customWidth="1"/>
    <col min="10497" max="10497" width="23.5703125" customWidth="1"/>
    <col min="10498" max="10498" width="11.7109375" customWidth="1"/>
    <col min="10499" max="10506" width="11.42578125" customWidth="1"/>
    <col min="10507" max="10507" width="12.42578125" customWidth="1"/>
    <col min="10753" max="10753" width="23.5703125" customWidth="1"/>
    <col min="10754" max="10754" width="11.7109375" customWidth="1"/>
    <col min="10755" max="10762" width="11.42578125" customWidth="1"/>
    <col min="10763" max="10763" width="12.42578125" customWidth="1"/>
    <col min="11009" max="11009" width="23.5703125" customWidth="1"/>
    <col min="11010" max="11010" width="11.7109375" customWidth="1"/>
    <col min="11011" max="11018" width="11.42578125" customWidth="1"/>
    <col min="11019" max="11019" width="12.42578125" customWidth="1"/>
    <col min="11265" max="11265" width="23.5703125" customWidth="1"/>
    <col min="11266" max="11266" width="11.7109375" customWidth="1"/>
    <col min="11267" max="11274" width="11.42578125" customWidth="1"/>
    <col min="11275" max="11275" width="12.42578125" customWidth="1"/>
    <col min="11521" max="11521" width="23.5703125" customWidth="1"/>
    <col min="11522" max="11522" width="11.7109375" customWidth="1"/>
    <col min="11523" max="11530" width="11.42578125" customWidth="1"/>
    <col min="11531" max="11531" width="12.42578125" customWidth="1"/>
    <col min="11777" max="11777" width="23.5703125" customWidth="1"/>
    <col min="11778" max="11778" width="11.7109375" customWidth="1"/>
    <col min="11779" max="11786" width="11.42578125" customWidth="1"/>
    <col min="11787" max="11787" width="12.42578125" customWidth="1"/>
    <col min="12033" max="12033" width="23.5703125" customWidth="1"/>
    <col min="12034" max="12034" width="11.7109375" customWidth="1"/>
    <col min="12035" max="12042" width="11.42578125" customWidth="1"/>
    <col min="12043" max="12043" width="12.42578125" customWidth="1"/>
    <col min="12289" max="12289" width="23.5703125" customWidth="1"/>
    <col min="12290" max="12290" width="11.7109375" customWidth="1"/>
    <col min="12291" max="12298" width="11.42578125" customWidth="1"/>
    <col min="12299" max="12299" width="12.42578125" customWidth="1"/>
    <col min="12545" max="12545" width="23.5703125" customWidth="1"/>
    <col min="12546" max="12546" width="11.7109375" customWidth="1"/>
    <col min="12547" max="12554" width="11.42578125" customWidth="1"/>
    <col min="12555" max="12555" width="12.42578125" customWidth="1"/>
    <col min="12801" max="12801" width="23.5703125" customWidth="1"/>
    <col min="12802" max="12802" width="11.7109375" customWidth="1"/>
    <col min="12803" max="12810" width="11.42578125" customWidth="1"/>
    <col min="12811" max="12811" width="12.42578125" customWidth="1"/>
    <col min="13057" max="13057" width="23.5703125" customWidth="1"/>
    <col min="13058" max="13058" width="11.7109375" customWidth="1"/>
    <col min="13059" max="13066" width="11.42578125" customWidth="1"/>
    <col min="13067" max="13067" width="12.42578125" customWidth="1"/>
    <col min="13313" max="13313" width="23.5703125" customWidth="1"/>
    <col min="13314" max="13314" width="11.7109375" customWidth="1"/>
    <col min="13315" max="13322" width="11.42578125" customWidth="1"/>
    <col min="13323" max="13323" width="12.42578125" customWidth="1"/>
    <col min="13569" max="13569" width="23.5703125" customWidth="1"/>
    <col min="13570" max="13570" width="11.7109375" customWidth="1"/>
    <col min="13571" max="13578" width="11.42578125" customWidth="1"/>
    <col min="13579" max="13579" width="12.42578125" customWidth="1"/>
    <col min="13825" max="13825" width="23.5703125" customWidth="1"/>
    <col min="13826" max="13826" width="11.7109375" customWidth="1"/>
    <col min="13827" max="13834" width="11.42578125" customWidth="1"/>
    <col min="13835" max="13835" width="12.42578125" customWidth="1"/>
    <col min="14081" max="14081" width="23.5703125" customWidth="1"/>
    <col min="14082" max="14082" width="11.7109375" customWidth="1"/>
    <col min="14083" max="14090" width="11.42578125" customWidth="1"/>
    <col min="14091" max="14091" width="12.42578125" customWidth="1"/>
    <col min="14337" max="14337" width="23.5703125" customWidth="1"/>
    <col min="14338" max="14338" width="11.7109375" customWidth="1"/>
    <col min="14339" max="14346" width="11.42578125" customWidth="1"/>
    <col min="14347" max="14347" width="12.42578125" customWidth="1"/>
    <col min="14593" max="14593" width="23.5703125" customWidth="1"/>
    <col min="14594" max="14594" width="11.7109375" customWidth="1"/>
    <col min="14595" max="14602" width="11.42578125" customWidth="1"/>
    <col min="14603" max="14603" width="12.42578125" customWidth="1"/>
    <col min="14849" max="14849" width="23.5703125" customWidth="1"/>
    <col min="14850" max="14850" width="11.7109375" customWidth="1"/>
    <col min="14851" max="14858" width="11.42578125" customWidth="1"/>
    <col min="14859" max="14859" width="12.42578125" customWidth="1"/>
    <col min="15105" max="15105" width="23.5703125" customWidth="1"/>
    <col min="15106" max="15106" width="11.7109375" customWidth="1"/>
    <col min="15107" max="15114" width="11.42578125" customWidth="1"/>
    <col min="15115" max="15115" width="12.42578125" customWidth="1"/>
    <col min="15361" max="15361" width="23.5703125" customWidth="1"/>
    <col min="15362" max="15362" width="11.7109375" customWidth="1"/>
    <col min="15363" max="15370" width="11.42578125" customWidth="1"/>
    <col min="15371" max="15371" width="12.42578125" customWidth="1"/>
    <col min="15617" max="15617" width="23.5703125" customWidth="1"/>
    <col min="15618" max="15618" width="11.7109375" customWidth="1"/>
    <col min="15619" max="15626" width="11.42578125" customWidth="1"/>
    <col min="15627" max="15627" width="12.42578125" customWidth="1"/>
    <col min="15873" max="15873" width="23.5703125" customWidth="1"/>
    <col min="15874" max="15874" width="11.7109375" customWidth="1"/>
    <col min="15875" max="15882" width="11.42578125" customWidth="1"/>
    <col min="15883" max="15883" width="12.42578125" customWidth="1"/>
    <col min="16129" max="16129" width="23.5703125" customWidth="1"/>
    <col min="16130" max="16130" width="11.7109375" customWidth="1"/>
    <col min="16131" max="16138" width="11.42578125" customWidth="1"/>
    <col min="16139" max="16139" width="12.42578125" customWidth="1"/>
  </cols>
  <sheetData>
    <row r="1" spans="1:11" x14ac:dyDescent="0.2">
      <c r="A1" s="95" t="s">
        <v>248</v>
      </c>
    </row>
    <row r="2" spans="1:11" x14ac:dyDescent="0.2">
      <c r="A2" s="95" t="s">
        <v>249</v>
      </c>
    </row>
    <row r="3" spans="1:11" x14ac:dyDescent="0.2">
      <c r="A3" s="95"/>
    </row>
    <row r="5" spans="1:11" ht="38.25" x14ac:dyDescent="0.2">
      <c r="B5" s="96" t="s">
        <v>250</v>
      </c>
      <c r="C5" s="97" t="s">
        <v>251</v>
      </c>
      <c r="D5" s="97" t="s">
        <v>252</v>
      </c>
      <c r="E5" s="97" t="s">
        <v>253</v>
      </c>
      <c r="F5" s="97" t="s">
        <v>254</v>
      </c>
      <c r="G5" s="97" t="s">
        <v>255</v>
      </c>
      <c r="H5" s="97" t="s">
        <v>256</v>
      </c>
      <c r="I5" s="97" t="s">
        <v>257</v>
      </c>
      <c r="J5" s="97" t="s">
        <v>258</v>
      </c>
      <c r="K5" s="97" t="s">
        <v>259</v>
      </c>
    </row>
    <row r="7" spans="1:11" x14ac:dyDescent="0.2">
      <c r="A7" t="s">
        <v>211</v>
      </c>
      <c r="B7" s="86">
        <v>517.96</v>
      </c>
      <c r="C7" s="86">
        <v>538.59</v>
      </c>
      <c r="D7" s="86">
        <v>557.44000000000005</v>
      </c>
      <c r="E7" s="86">
        <v>640.99</v>
      </c>
      <c r="F7" s="86">
        <v>697.39</v>
      </c>
      <c r="G7" s="86">
        <v>774.67</v>
      </c>
      <c r="H7" s="86">
        <v>769.08</v>
      </c>
      <c r="I7" s="86">
        <v>821.1</v>
      </c>
      <c r="J7" s="86">
        <f t="shared" ref="J7:J12" si="0">+I7*1.1</f>
        <v>903.21000000000015</v>
      </c>
      <c r="K7" s="86">
        <f t="shared" ref="K7:K12" si="1">I7*11+J7</f>
        <v>9935.3100000000013</v>
      </c>
    </row>
    <row r="8" spans="1:11" x14ac:dyDescent="0.2">
      <c r="A8" t="s">
        <v>214</v>
      </c>
      <c r="B8" s="86">
        <v>517.96</v>
      </c>
      <c r="C8" s="86">
        <v>538.59</v>
      </c>
      <c r="D8" s="86">
        <v>557.44000000000005</v>
      </c>
      <c r="E8" s="86">
        <v>640.99</v>
      </c>
      <c r="F8" s="86">
        <v>697.39</v>
      </c>
      <c r="G8" s="86">
        <v>774.67</v>
      </c>
      <c r="H8" s="86">
        <v>769.08</v>
      </c>
      <c r="I8" s="86">
        <v>821.1</v>
      </c>
      <c r="J8" s="86">
        <f t="shared" si="0"/>
        <v>903.21000000000015</v>
      </c>
      <c r="K8" s="86">
        <f t="shared" si="1"/>
        <v>9935.3100000000013</v>
      </c>
    </row>
    <row r="9" spans="1:11" x14ac:dyDescent="0.2">
      <c r="A9" t="s">
        <v>216</v>
      </c>
      <c r="B9" s="86">
        <v>517.96</v>
      </c>
      <c r="C9" s="86">
        <v>538.59</v>
      </c>
      <c r="D9" s="86">
        <v>557.44000000000005</v>
      </c>
      <c r="E9" s="86">
        <v>640.99</v>
      </c>
      <c r="F9" s="86">
        <v>697.39</v>
      </c>
      <c r="G9" s="86">
        <v>774.67</v>
      </c>
      <c r="H9" s="86">
        <v>769.08</v>
      </c>
      <c r="I9" s="86">
        <v>821.1</v>
      </c>
      <c r="J9" s="86">
        <f t="shared" si="0"/>
        <v>903.21000000000015</v>
      </c>
      <c r="K9" s="86">
        <f t="shared" si="1"/>
        <v>9935.3100000000013</v>
      </c>
    </row>
    <row r="10" spans="1:11" x14ac:dyDescent="0.2">
      <c r="A10" t="s">
        <v>218</v>
      </c>
      <c r="B10" s="86">
        <v>0</v>
      </c>
      <c r="C10" s="86">
        <v>0</v>
      </c>
      <c r="D10" s="86">
        <v>0</v>
      </c>
      <c r="E10" s="86">
        <v>0</v>
      </c>
      <c r="F10" s="86">
        <v>0</v>
      </c>
      <c r="G10" s="86">
        <v>774.67</v>
      </c>
      <c r="H10" s="86">
        <v>769.08</v>
      </c>
      <c r="I10" s="86">
        <v>821.1</v>
      </c>
      <c r="J10" s="86">
        <f t="shared" si="0"/>
        <v>903.21000000000015</v>
      </c>
      <c r="K10" s="86">
        <f t="shared" si="1"/>
        <v>9935.3100000000013</v>
      </c>
    </row>
    <row r="11" spans="1:11" x14ac:dyDescent="0.2">
      <c r="A11" t="s">
        <v>219</v>
      </c>
      <c r="B11" s="86">
        <v>0</v>
      </c>
      <c r="C11" s="86">
        <v>0</v>
      </c>
      <c r="D11" s="86">
        <v>0</v>
      </c>
      <c r="E11" s="86">
        <v>0</v>
      </c>
      <c r="F11" s="86">
        <v>0</v>
      </c>
      <c r="G11" s="86">
        <v>0</v>
      </c>
      <c r="H11" s="86">
        <v>769.08</v>
      </c>
      <c r="I11" s="86">
        <v>821.1</v>
      </c>
      <c r="J11" s="86">
        <f t="shared" si="0"/>
        <v>903.21000000000015</v>
      </c>
      <c r="K11" s="86">
        <f t="shared" si="1"/>
        <v>9935.3100000000013</v>
      </c>
    </row>
    <row r="12" spans="1:11" x14ac:dyDescent="0.2">
      <c r="A12" t="s">
        <v>220</v>
      </c>
      <c r="B12" s="86">
        <v>0</v>
      </c>
      <c r="C12" s="86">
        <v>0</v>
      </c>
      <c r="D12" s="86">
        <v>0</v>
      </c>
      <c r="E12" s="86">
        <v>0</v>
      </c>
      <c r="F12" s="86">
        <v>0</v>
      </c>
      <c r="G12" s="86">
        <v>0</v>
      </c>
      <c r="H12" s="86">
        <v>769.08</v>
      </c>
      <c r="I12" s="86">
        <v>821.1</v>
      </c>
      <c r="J12" s="86">
        <f t="shared" si="0"/>
        <v>903.21000000000015</v>
      </c>
      <c r="K12" s="86">
        <f t="shared" si="1"/>
        <v>9935.3100000000013</v>
      </c>
    </row>
    <row r="13" spans="1:11" x14ac:dyDescent="0.2">
      <c r="A13" t="s">
        <v>260</v>
      </c>
      <c r="B13" s="86">
        <v>0</v>
      </c>
      <c r="C13" s="86">
        <v>0</v>
      </c>
      <c r="D13" s="86">
        <v>0</v>
      </c>
      <c r="E13" s="86">
        <v>0</v>
      </c>
      <c r="F13" s="86">
        <v>0</v>
      </c>
      <c r="G13" s="86">
        <v>0</v>
      </c>
      <c r="H13" s="86">
        <v>0</v>
      </c>
      <c r="I13" s="86">
        <f>ROUND(G13+G13*$I$17,2)</f>
        <v>0</v>
      </c>
      <c r="J13" s="86">
        <v>0</v>
      </c>
      <c r="K13" s="86">
        <f>H13*11+I13</f>
        <v>0</v>
      </c>
    </row>
    <row r="14" spans="1:11" x14ac:dyDescent="0.2">
      <c r="A14" t="s">
        <v>221</v>
      </c>
      <c r="B14" s="86">
        <v>0</v>
      </c>
      <c r="C14" s="86">
        <v>0</v>
      </c>
      <c r="D14" s="86">
        <v>0</v>
      </c>
      <c r="E14" s="86">
        <v>0</v>
      </c>
      <c r="F14" s="86">
        <v>0</v>
      </c>
      <c r="G14" s="86">
        <v>0</v>
      </c>
      <c r="H14" s="86">
        <v>0</v>
      </c>
      <c r="I14" s="86">
        <f>ROUND(G14+G14*$I$17,2)</f>
        <v>0</v>
      </c>
      <c r="J14" s="86">
        <v>0</v>
      </c>
      <c r="K14" s="86">
        <f>H14*11+I14</f>
        <v>0</v>
      </c>
    </row>
    <row r="15" spans="1:11" x14ac:dyDescent="0.2">
      <c r="B15" s="86">
        <f t="shared" ref="B15:K15" si="2">SUM(B7:B14)</f>
        <v>1553.88</v>
      </c>
      <c r="C15" s="86">
        <f t="shared" si="2"/>
        <v>1615.77</v>
      </c>
      <c r="D15" s="86">
        <f t="shared" si="2"/>
        <v>1672.3200000000002</v>
      </c>
      <c r="E15" s="86">
        <f t="shared" si="2"/>
        <v>1922.97</v>
      </c>
      <c r="F15" s="86">
        <f t="shared" si="2"/>
        <v>2092.17</v>
      </c>
      <c r="G15" s="86">
        <f t="shared" si="2"/>
        <v>3098.68</v>
      </c>
      <c r="H15" s="86">
        <f t="shared" si="2"/>
        <v>4614.4800000000005</v>
      </c>
      <c r="I15" s="86">
        <f t="shared" si="2"/>
        <v>4926.6000000000004</v>
      </c>
      <c r="J15" s="86">
        <f t="shared" si="2"/>
        <v>5419.2600000000011</v>
      </c>
      <c r="K15" s="86">
        <f t="shared" si="2"/>
        <v>59611.86</v>
      </c>
    </row>
    <row r="17" spans="1:11" x14ac:dyDescent="0.2">
      <c r="A17" s="98" t="s">
        <v>261</v>
      </c>
      <c r="C17" s="99">
        <f t="shared" ref="C17:J17" si="3">(C7-B7)/B7</f>
        <v>3.9829330450227803E-2</v>
      </c>
      <c r="D17" s="99">
        <f t="shared" si="3"/>
        <v>3.4998793145064003E-2</v>
      </c>
      <c r="E17" s="99">
        <f t="shared" si="3"/>
        <v>0.14988160160734779</v>
      </c>
      <c r="F17" s="99">
        <f t="shared" si="3"/>
        <v>8.7988892182405298E-2</v>
      </c>
      <c r="G17" s="99">
        <f t="shared" si="3"/>
        <v>0.11081317483760876</v>
      </c>
      <c r="H17" s="99">
        <f t="shared" si="3"/>
        <v>-7.2159758348715177E-3</v>
      </c>
      <c r="I17" s="99">
        <f t="shared" si="3"/>
        <v>6.7639257294429683E-2</v>
      </c>
      <c r="J17" s="99">
        <f t="shared" si="3"/>
        <v>0.10000000000000016</v>
      </c>
    </row>
    <row r="18" spans="1:11" x14ac:dyDescent="0.2">
      <c r="D18" s="100"/>
      <c r="E18" s="100"/>
      <c r="F18" s="100"/>
      <c r="G18" s="100"/>
      <c r="H18" s="100"/>
      <c r="I18" s="100"/>
      <c r="J18" s="100"/>
    </row>
    <row r="19" spans="1:11" x14ac:dyDescent="0.2">
      <c r="K19" s="73"/>
    </row>
  </sheetData>
  <pageMargins left="0.75" right="0.75" top="1" bottom="1" header="0.5" footer="0.5"/>
  <pageSetup scale="88"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opLeftCell="A8" workbookViewId="0">
      <selection activeCell="E25" sqref="E25"/>
    </sheetView>
  </sheetViews>
  <sheetFormatPr defaultRowHeight="12.75" x14ac:dyDescent="0.2"/>
  <cols>
    <col min="1" max="1" width="17" customWidth="1"/>
    <col min="2" max="2" width="17.140625" customWidth="1"/>
    <col min="3" max="3" width="14.7109375" customWidth="1"/>
    <col min="4" max="4" width="12" customWidth="1"/>
    <col min="5" max="5" width="14.85546875" customWidth="1"/>
    <col min="6" max="6" width="13.140625" customWidth="1"/>
  </cols>
  <sheetData>
    <row r="1" spans="1:11" x14ac:dyDescent="0.2">
      <c r="A1" s="95" t="s">
        <v>262</v>
      </c>
    </row>
    <row r="2" spans="1:11" x14ac:dyDescent="0.2">
      <c r="A2" s="95" t="s">
        <v>263</v>
      </c>
    </row>
    <row r="5" spans="1:11" ht="25.5" x14ac:dyDescent="0.2">
      <c r="A5" s="101" t="s">
        <v>29</v>
      </c>
      <c r="B5" s="101" t="s">
        <v>264</v>
      </c>
      <c r="C5" s="97" t="s">
        <v>265</v>
      </c>
      <c r="D5" s="97" t="s">
        <v>266</v>
      </c>
      <c r="E5" s="97" t="s">
        <v>267</v>
      </c>
    </row>
    <row r="7" spans="1:11" x14ac:dyDescent="0.2">
      <c r="A7" t="s">
        <v>211</v>
      </c>
      <c r="B7" s="73">
        <f>+'[1](1) Payroll Estimates'!K7</f>
        <v>81006.537624521065</v>
      </c>
      <c r="C7" s="102" t="s">
        <v>268</v>
      </c>
      <c r="D7" s="73">
        <v>6.03</v>
      </c>
      <c r="E7" s="103">
        <f t="shared" ref="E7:E14" si="0">ROUND(+B7*D7/100,2)</f>
        <v>4884.6899999999996</v>
      </c>
    </row>
    <row r="8" spans="1:11" x14ac:dyDescent="0.2">
      <c r="A8" t="s">
        <v>214</v>
      </c>
      <c r="B8" s="73">
        <f>+'[1](1) Payroll Estimates'!K8</f>
        <v>48228.15224958949</v>
      </c>
      <c r="C8" s="102" t="s">
        <v>268</v>
      </c>
      <c r="D8" s="73">
        <v>6.03</v>
      </c>
      <c r="E8" s="103">
        <f t="shared" si="0"/>
        <v>2908.16</v>
      </c>
    </row>
    <row r="9" spans="1:11" x14ac:dyDescent="0.2">
      <c r="A9" t="s">
        <v>216</v>
      </c>
      <c r="B9" s="73">
        <f>+'[1](1) Payroll Estimates'!K9</f>
        <v>29607.84</v>
      </c>
      <c r="C9" s="102" t="s">
        <v>268</v>
      </c>
      <c r="D9" s="73">
        <v>6.03</v>
      </c>
      <c r="E9" s="103">
        <f t="shared" si="0"/>
        <v>1785.35</v>
      </c>
    </row>
    <row r="10" spans="1:11" x14ac:dyDescent="0.2">
      <c r="A10" t="s">
        <v>218</v>
      </c>
      <c r="B10" s="73">
        <f>+'[1](1) Payroll Estimates'!K10</f>
        <v>25962.240000000002</v>
      </c>
      <c r="C10" s="102" t="s">
        <v>268</v>
      </c>
      <c r="D10" s="73">
        <v>6.03</v>
      </c>
      <c r="E10" s="103">
        <f t="shared" si="0"/>
        <v>1565.52</v>
      </c>
    </row>
    <row r="11" spans="1:11" x14ac:dyDescent="0.2">
      <c r="A11" t="s">
        <v>219</v>
      </c>
      <c r="B11" s="73">
        <f>+'[1](1) Payroll Estimates'!K11</f>
        <v>24685.440000000002</v>
      </c>
      <c r="C11" s="102" t="s">
        <v>268</v>
      </c>
      <c r="D11" s="73">
        <v>6.03</v>
      </c>
      <c r="E11" s="103">
        <f t="shared" si="0"/>
        <v>1488.53</v>
      </c>
      <c r="I11" s="18"/>
      <c r="K11" s="18"/>
    </row>
    <row r="12" spans="1:11" x14ac:dyDescent="0.2">
      <c r="A12" t="s">
        <v>220</v>
      </c>
      <c r="B12" s="73">
        <f>+'[1](1) Payroll Estimates'!K12</f>
        <v>23769.839999999997</v>
      </c>
      <c r="C12" s="102" t="s">
        <v>268</v>
      </c>
      <c r="D12" s="73">
        <v>6.03</v>
      </c>
      <c r="E12" s="103">
        <f t="shared" si="0"/>
        <v>1433.32</v>
      </c>
      <c r="I12" s="18"/>
      <c r="K12" s="18"/>
    </row>
    <row r="13" spans="1:11" x14ac:dyDescent="0.2">
      <c r="A13" t="s">
        <v>223</v>
      </c>
      <c r="B13" s="73">
        <f>+'[1](1) Payroll Estimates'!K14</f>
        <v>5472</v>
      </c>
      <c r="C13" s="102" t="s">
        <v>269</v>
      </c>
      <c r="D13" s="73">
        <v>0.56999999999999995</v>
      </c>
      <c r="E13" s="103">
        <f t="shared" si="0"/>
        <v>31.19</v>
      </c>
      <c r="I13" s="18"/>
      <c r="K13" s="18"/>
    </row>
    <row r="14" spans="1:11" x14ac:dyDescent="0.2">
      <c r="A14" t="s">
        <v>221</v>
      </c>
      <c r="B14" s="73">
        <f>'[1](1) Payroll Estimates'!K13</f>
        <v>6750</v>
      </c>
      <c r="C14" s="102" t="s">
        <v>269</v>
      </c>
      <c r="D14" s="73">
        <v>0.56999999999999995</v>
      </c>
      <c r="E14" s="103">
        <f t="shared" si="0"/>
        <v>38.479999999999997</v>
      </c>
    </row>
    <row r="15" spans="1:11" x14ac:dyDescent="0.2">
      <c r="D15" s="73"/>
      <c r="E15" s="103"/>
    </row>
    <row r="16" spans="1:11" x14ac:dyDescent="0.2">
      <c r="B16" s="73">
        <f>SUM(B7:B15)</f>
        <v>245482.04987411055</v>
      </c>
      <c r="D16" s="73"/>
      <c r="E16" s="103">
        <f>SUM(E7:E15)</f>
        <v>14135.24</v>
      </c>
    </row>
    <row r="17" spans="1:5" x14ac:dyDescent="0.2">
      <c r="D17" s="73"/>
      <c r="E17" s="73"/>
    </row>
    <row r="18" spans="1:5" x14ac:dyDescent="0.2">
      <c r="A18" t="s">
        <v>270</v>
      </c>
      <c r="B18">
        <v>5</v>
      </c>
      <c r="C18" s="85" t="s">
        <v>271</v>
      </c>
      <c r="D18" s="73">
        <v>21.19</v>
      </c>
      <c r="E18" s="73">
        <f>+B18*D18</f>
        <v>105.95</v>
      </c>
    </row>
    <row r="19" spans="1:5" x14ac:dyDescent="0.2">
      <c r="A19" t="s">
        <v>272</v>
      </c>
      <c r="D19" s="73"/>
      <c r="E19" s="73"/>
    </row>
    <row r="20" spans="1:5" x14ac:dyDescent="0.2">
      <c r="E20" s="73"/>
    </row>
    <row r="21" spans="1:5" x14ac:dyDescent="0.2">
      <c r="E21" s="73"/>
    </row>
    <row r="22" spans="1:5" x14ac:dyDescent="0.2">
      <c r="A22" t="s">
        <v>273</v>
      </c>
      <c r="E22" s="73">
        <f>+E16+E18</f>
        <v>14241.19</v>
      </c>
    </row>
    <row r="23" spans="1:5" x14ac:dyDescent="0.2">
      <c r="A23" t="s">
        <v>274</v>
      </c>
      <c r="D23" s="18">
        <v>0.97</v>
      </c>
      <c r="E23" s="73">
        <f>ROUND(+E22*D23,2)</f>
        <v>13813.95</v>
      </c>
    </row>
    <row r="24" spans="1:5" x14ac:dyDescent="0.2">
      <c r="A24" t="s">
        <v>275</v>
      </c>
      <c r="D24" s="18">
        <v>0.1</v>
      </c>
      <c r="E24" s="74">
        <f>ROUND(+E23*D24,2)</f>
        <v>1381.4</v>
      </c>
    </row>
    <row r="25" spans="1:5" x14ac:dyDescent="0.2">
      <c r="A25" t="s">
        <v>276</v>
      </c>
      <c r="E25" s="75">
        <f>+E23-E24</f>
        <v>12432.550000000001</v>
      </c>
    </row>
    <row r="26" spans="1:5" x14ac:dyDescent="0.2">
      <c r="A26" t="s">
        <v>277</v>
      </c>
      <c r="D26" s="18">
        <v>0.05</v>
      </c>
      <c r="E26" s="74">
        <f>ROUND(E25*D26,2)</f>
        <v>621.63</v>
      </c>
    </row>
    <row r="27" spans="1:5" x14ac:dyDescent="0.2">
      <c r="A27" t="s">
        <v>278</v>
      </c>
      <c r="E27" s="73">
        <f>+E25-E26</f>
        <v>11810.920000000002</v>
      </c>
    </row>
    <row r="28" spans="1:5" x14ac:dyDescent="0.2">
      <c r="A28" t="s">
        <v>279</v>
      </c>
      <c r="E28" s="73"/>
    </row>
    <row r="29" spans="1:5" x14ac:dyDescent="0.2">
      <c r="C29" t="s">
        <v>280</v>
      </c>
      <c r="D29" s="73">
        <v>2661</v>
      </c>
      <c r="E29" s="73">
        <f>+D29*4</f>
        <v>10644</v>
      </c>
    </row>
    <row r="30" spans="1:5" x14ac:dyDescent="0.2">
      <c r="D30" s="73"/>
      <c r="E30" s="73"/>
    </row>
    <row r="31" spans="1:5" x14ac:dyDescent="0.2">
      <c r="A31" t="s">
        <v>281</v>
      </c>
      <c r="D31" s="73"/>
      <c r="E31" s="73">
        <f>+E27-E29</f>
        <v>1166.9200000000019</v>
      </c>
    </row>
    <row r="33" spans="1:6" x14ac:dyDescent="0.2">
      <c r="A33" t="s">
        <v>282</v>
      </c>
      <c r="E33" s="73">
        <f>+E25</f>
        <v>12432.550000000001</v>
      </c>
      <c r="F33" s="73"/>
    </row>
    <row r="34" spans="1:6" x14ac:dyDescent="0.2">
      <c r="E34" s="86"/>
      <c r="F34" t="s">
        <v>283</v>
      </c>
    </row>
    <row r="35" spans="1:6" x14ac:dyDescent="0.2">
      <c r="A35" t="s">
        <v>284</v>
      </c>
      <c r="E35" s="86">
        <f>+E22</f>
        <v>14241.19</v>
      </c>
      <c r="F35" s="86">
        <v>15000</v>
      </c>
    </row>
  </sheetData>
  <pageMargins left="0.75" right="0.75" top="1" bottom="1" header="0.5" footer="0.5"/>
  <pageSetup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Exhibit A, Budget Totals</vt:lpstr>
      <vt:lpstr> Exhibit B, Salary and Schedule</vt:lpstr>
      <vt:lpstr>Salary Schedule Notes</vt:lpstr>
      <vt:lpstr>Exhibit C, Budget Definitions</vt:lpstr>
      <vt:lpstr>Charts</vt:lpstr>
      <vt:lpstr>Payroll Estimates</vt:lpstr>
      <vt:lpstr>Step Schedule</vt:lpstr>
      <vt:lpstr>Health Insurance</vt:lpstr>
      <vt:lpstr>Workers' Compensation</vt:lpstr>
      <vt:lpstr>Sheet4</vt:lpstr>
      <vt:lpstr>Data</vt:lpstr>
      <vt:lpstr>Tax roll</vt:lpstr>
      <vt:lpstr>Previous Year Payroll</vt:lpstr>
      <vt:lpstr>Budget Summary</vt:lpstr>
      <vt:lpstr>'Payroll Estimates'!Print_Area</vt:lpstr>
      <vt:lpstr>'Previous Year Payroll'!Print_Area</vt:lpstr>
      <vt:lpstr>'Payroll Estimates'!Print_Titles</vt:lpstr>
      <vt:lpstr>'Previous Year Payroll'!Print_Titles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GM</dc:creator>
  <cp:lastModifiedBy>Pete</cp:lastModifiedBy>
  <cp:lastPrinted>2014-12-15T06:20:39Z</cp:lastPrinted>
  <dcterms:created xsi:type="dcterms:W3CDTF">2006-12-14T18:35:47Z</dcterms:created>
  <dcterms:modified xsi:type="dcterms:W3CDTF">2015-01-20T18:47:56Z</dcterms:modified>
</cp:coreProperties>
</file>